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7"/>
  </bookViews>
  <sheets>
    <sheet name="REL BIENES" sheetId="1" r:id="rId1"/>
    <sheet name="AU" sheetId="2" r:id="rId2"/>
    <sheet name="TRV" sheetId="3" r:id="rId3"/>
    <sheet name="GM" sheetId="4" r:id="rId4"/>
    <sheet name="TRM" sheetId="5" r:id="rId5"/>
    <sheet name="VG" sheetId="6" r:id="rId6"/>
    <sheet name="RC" sheetId="7" r:id="rId7"/>
    <sheet name="ANEXO VG - EMPLEADOS" sheetId="8" r:id="rId8"/>
  </sheets>
  <definedNames>
    <definedName name="_xlnm.Print_Area" localSheetId="1">'AU'!$A$1:$I$26</definedName>
    <definedName name="_xlnm.Print_Area" localSheetId="3">'GM'!$A$1:$D$28</definedName>
    <definedName name="_xlnm.Print_Area" localSheetId="6">'RC'!$A$1:$D$56</definedName>
    <definedName name="_xlnm.Print_Area" localSheetId="0">'REL BIENES'!$A$1:$I$195</definedName>
    <definedName name="_xlnm.Print_Area" localSheetId="4">'TRM'!$A$1:$D$24</definedName>
    <definedName name="_xlnm.Print_Area" localSheetId="5">'VG'!$A$1:$C$26</definedName>
    <definedName name="_xlnm.Print_Titles" localSheetId="1">'AU'!$7:$8</definedName>
    <definedName name="_xlnm.Print_Titles" localSheetId="0">'REL BIENES'!$1:$6</definedName>
  </definedNames>
  <calcPr fullCalcOnLoad="1"/>
</workbook>
</file>

<file path=xl/sharedStrings.xml><?xml version="1.0" encoding="utf-8"?>
<sst xmlns="http://schemas.openxmlformats.org/spreadsheetml/2006/main" count="482" uniqueCount="340">
  <si>
    <t>BIENES ASEGURADOS</t>
  </si>
  <si>
    <t>VALOR</t>
  </si>
  <si>
    <t>ASEGURADO</t>
  </si>
  <si>
    <t>AMPAROS</t>
  </si>
  <si>
    <t>DEDUCIBLES</t>
  </si>
  <si>
    <t>Riesgo No.1</t>
  </si>
  <si>
    <t xml:space="preserve"> </t>
  </si>
  <si>
    <t>PRIMA</t>
  </si>
  <si>
    <t>IVA</t>
  </si>
  <si>
    <t>TOTAL A PAGAR</t>
  </si>
  <si>
    <t>Cláusulas Adicionales</t>
  </si>
  <si>
    <t>* Actos de Autoridad</t>
  </si>
  <si>
    <t>* Revocación de la póliza aviso 30 días. Para AMIT y HMACC 10 días</t>
  </si>
  <si>
    <t xml:space="preserve">* Restablecimiento automático de valor asegurado por pago de siniestro </t>
  </si>
  <si>
    <t>* Labores y materiales, aviso 30 días</t>
  </si>
  <si>
    <t>* Revocación de la póliza aviso 30 días.</t>
  </si>
  <si>
    <t>Básico</t>
  </si>
  <si>
    <t>*P.L.O</t>
  </si>
  <si>
    <t>*Ascensores y escaleras</t>
  </si>
  <si>
    <t xml:space="preserve"> automáticas</t>
  </si>
  <si>
    <t>*Maquinas y equipos de</t>
  </si>
  <si>
    <t xml:space="preserve"> dentro de los predios</t>
  </si>
  <si>
    <t>*Avisos y vallas</t>
  </si>
  <si>
    <t>*Instalaciones sociales y</t>
  </si>
  <si>
    <t xml:space="preserve"> deportivas</t>
  </si>
  <si>
    <t>*Eventos sociales</t>
  </si>
  <si>
    <t>*Desplazamiento de</t>
  </si>
  <si>
    <t xml:space="preserve"> funcionarios en el territorio</t>
  </si>
  <si>
    <t xml:space="preserve"> nacional</t>
  </si>
  <si>
    <t>*Ferias y Exposiciones</t>
  </si>
  <si>
    <t xml:space="preserve"> nacionales</t>
  </si>
  <si>
    <t>*Vigilantes</t>
  </si>
  <si>
    <t>*Gastos Médicos</t>
  </si>
  <si>
    <t>* Contratista y Subcontratista</t>
  </si>
  <si>
    <t>* R.C. Patronal</t>
  </si>
  <si>
    <t>* Amparo automático nuevos predios, previo aviso a la Compañía</t>
  </si>
  <si>
    <t>MARCA</t>
  </si>
  <si>
    <t>MODELO</t>
  </si>
  <si>
    <t>MOTOR</t>
  </si>
  <si>
    <t>CLASE</t>
  </si>
  <si>
    <t>CODIGO</t>
  </si>
  <si>
    <t>FASECOLDA</t>
  </si>
  <si>
    <t>PLACA</t>
  </si>
  <si>
    <t>CLAUSULAS ADICIONALES</t>
  </si>
  <si>
    <t>Amparo automático nuevos vehículos, aviso 30 días</t>
  </si>
  <si>
    <t>Ampliación aviso siniestro a 30 días</t>
  </si>
  <si>
    <t>Amparo automático accesorios hasta por el 10% del valor asegurado del vehículo</t>
  </si>
  <si>
    <t>* Definición de Edificios</t>
  </si>
  <si>
    <t>* Definición de Maquinaría y Equipo</t>
  </si>
  <si>
    <t>* Definición de Mercancías</t>
  </si>
  <si>
    <t>* Inundación o enlodamiento</t>
  </si>
  <si>
    <t>OBJETO POLIZA</t>
  </si>
  <si>
    <t>* Vehículos propios y no propios</t>
  </si>
  <si>
    <t>Productos</t>
  </si>
  <si>
    <t>*Parqueaderos</t>
  </si>
  <si>
    <t>Se cubren los perjuicios patrimoniales</t>
  </si>
  <si>
    <t xml:space="preserve">de la R.C.E en que incurra de </t>
  </si>
  <si>
    <t>acuerdo con el giro normal de sus</t>
  </si>
  <si>
    <t>actividades como Hospital</t>
  </si>
  <si>
    <t>Clínica y Hospitales</t>
  </si>
  <si>
    <t>Cargos</t>
  </si>
  <si>
    <t>Hurto Simple</t>
  </si>
  <si>
    <t>Huelga</t>
  </si>
  <si>
    <t>Limite por despacho</t>
  </si>
  <si>
    <t>Presupuesto Anual</t>
  </si>
  <si>
    <t>ANUAL</t>
  </si>
  <si>
    <t>SUBTOTAL</t>
  </si>
  <si>
    <t>* Ampliación aviso siniestro a 10 días</t>
  </si>
  <si>
    <t>* Designación de ajustador de común acuerdo con el asegurado</t>
  </si>
  <si>
    <t>Delito contra la Administración</t>
  </si>
  <si>
    <t>Alcances fiscales</t>
  </si>
  <si>
    <t>Gastos Reconstrucción cuentas</t>
  </si>
  <si>
    <t>Gastos Rendición cuentas</t>
  </si>
  <si>
    <t>Empleados no Identificados</t>
  </si>
  <si>
    <t>Clausulas Adicionales</t>
  </si>
  <si>
    <t>*Revocación de la póliza aviso 30 días</t>
  </si>
  <si>
    <t>* Amparo automático nuevos cargos , aviso 30 días</t>
  </si>
  <si>
    <t>HOSPITAL SAN JOSE BELEN DE UMBRIA</t>
  </si>
  <si>
    <t>Equipo e instrumentación médica</t>
  </si>
  <si>
    <t>* Honorarios Profesionales hasta 5% valor asegurado</t>
  </si>
  <si>
    <t>* Gastos de Extinción del Siniestro hasta 5% valor asegurado</t>
  </si>
  <si>
    <t>* Gastos de Preservación de Bienes hasta 5% valor asegurado</t>
  </si>
  <si>
    <t>* Remoción de Escombros hasta 10% valor asegurado</t>
  </si>
  <si>
    <t>* Incendio y/o Rayo en eparatos electricos hasta $40,000,000</t>
  </si>
  <si>
    <t>* Amparo automatico nuevos bienes hasta $100,000,000</t>
  </si>
  <si>
    <t>Cra 13 N.4-135 Belen de Umbria</t>
  </si>
  <si>
    <t>* Se adjunta listado de personal inicando cargos</t>
  </si>
  <si>
    <t>* Revocación póliza aviso 30 días</t>
  </si>
  <si>
    <t>* Trayecto multiple en horarios de oficina</t>
  </si>
  <si>
    <t>* Explosión y/o incendio</t>
  </si>
  <si>
    <t>* Actividades Deportivas</t>
  </si>
  <si>
    <t>* Bienes bajo cuidado tenencia</t>
  </si>
  <si>
    <t>Chevrolet Trooper</t>
  </si>
  <si>
    <t>Chevrolet Luv</t>
  </si>
  <si>
    <t>Toyota FZ</t>
  </si>
  <si>
    <t>1FZ0489707</t>
  </si>
  <si>
    <t>Ambulancia</t>
  </si>
  <si>
    <t>OVH-246</t>
  </si>
  <si>
    <t>OVH-257</t>
  </si>
  <si>
    <t>OHK-622</t>
  </si>
  <si>
    <t>No aplicación de deducibles</t>
  </si>
  <si>
    <t>Asistencia de viajes</t>
  </si>
  <si>
    <t>* Trayecto Desde cualquier lugar del país hasta el Hospital y viceversa</t>
  </si>
  <si>
    <t>RAMO: VIDA GRUPO</t>
  </si>
  <si>
    <t>Vida</t>
  </si>
  <si>
    <t>Indemnización Adicional por muerte</t>
  </si>
  <si>
    <t>accidental</t>
  </si>
  <si>
    <t>Incapacidad Total y Permanente</t>
  </si>
  <si>
    <t>Beneficios por Desmembración</t>
  </si>
  <si>
    <t>* Amparo automático nuevos empleados, aviso 30 días</t>
  </si>
  <si>
    <t>* Error declaración de edad y nombre</t>
  </si>
  <si>
    <t>* Convertibilidad</t>
  </si>
  <si>
    <t>Motocicleta</t>
  </si>
  <si>
    <t>Clase A: 7</t>
  </si>
  <si>
    <t>* Atraco en Predios</t>
  </si>
  <si>
    <t>Concentrador de Oxigeno</t>
  </si>
  <si>
    <t xml:space="preserve">RAMO: TRANSPORTE VALORES </t>
  </si>
  <si>
    <t>* Mensajero Particular</t>
  </si>
  <si>
    <t xml:space="preserve">RAMO: MANEJO GLOBAL </t>
  </si>
  <si>
    <t>* Arbitramento</t>
  </si>
  <si>
    <t>* Gastos Adicionales por tiempo extra, trabajo nocturno, feriados y flete expreso hasta $20,000,000</t>
  </si>
  <si>
    <t>* Flete Aéreo hasta $20,000,000</t>
  </si>
  <si>
    <t xml:space="preserve">RAMO: RESPONSABILIDAD CIVIL EXTRACONTRACTUAL </t>
  </si>
  <si>
    <t>* Suicuido desde el inicio de la vigencia</t>
  </si>
  <si>
    <t>RAMO: TRANSPORTE MERCANCIA</t>
  </si>
  <si>
    <t xml:space="preserve">RAMO: AUTOMOVILES </t>
  </si>
  <si>
    <t>Yamaha DT125</t>
  </si>
  <si>
    <t>3TL042554</t>
  </si>
  <si>
    <t>* Amparo de Renta hasta por 6 meses hasta por $50.000.000</t>
  </si>
  <si>
    <t>* Traslado temporal de equipos hasta $100,000,000</t>
  </si>
  <si>
    <t>* Rotura de vidrios hasta el 5% del valor asegurado (sin cobro de prima)</t>
  </si>
  <si>
    <t>TODO RIESGO</t>
  </si>
  <si>
    <t>20.000.000 / 40.000.000</t>
  </si>
  <si>
    <t>MUEBLES Y ENSERES</t>
  </si>
  <si>
    <t>Muebles y Enseres de Oficina</t>
  </si>
  <si>
    <t>Gabinete 14 pies</t>
  </si>
  <si>
    <t>4 camillas con rodachines</t>
  </si>
  <si>
    <t>Silla de Ruedas</t>
  </si>
  <si>
    <t>Autoclave a vapor</t>
  </si>
  <si>
    <t>EQUIPO DE COMPUTO</t>
  </si>
  <si>
    <t>Computador HP DX2000 Pentium PP</t>
  </si>
  <si>
    <t>Computador Clone y accesorios</t>
  </si>
  <si>
    <t>Estabilizador 1000 DFI</t>
  </si>
  <si>
    <t>Estabilizador Magom</t>
  </si>
  <si>
    <t>Servidor HP Proliant ML 350 GA Intel</t>
  </si>
  <si>
    <t>Estación de Trabajo HP DX2000 Pentium UPS</t>
  </si>
  <si>
    <t>Impresora Epson FX1180</t>
  </si>
  <si>
    <t>Impresora HP 840 C</t>
  </si>
  <si>
    <t>Impresora Panasonic KX-P1150</t>
  </si>
  <si>
    <t>Impresora Panasonic KX-P3696</t>
  </si>
  <si>
    <t>Impresora Epson FX890</t>
  </si>
  <si>
    <t>Switc 3 Com 24 puertos</t>
  </si>
  <si>
    <t>UPS CDP 3000W 8 tomas</t>
  </si>
  <si>
    <t>Computador HP DX2200</t>
  </si>
  <si>
    <t>Computador HP NDF6400</t>
  </si>
  <si>
    <t>Impresora Epson TX890 Matriz Punto</t>
  </si>
  <si>
    <t>Computador HP PP 17"</t>
  </si>
  <si>
    <t>Computador HP PP 15"</t>
  </si>
  <si>
    <t>EQUIPO TELEFONIA</t>
  </si>
  <si>
    <t>Conmutador Panasonic KXT7340</t>
  </si>
  <si>
    <t>Planta Panasonic KXTD1232X</t>
  </si>
  <si>
    <t>Radio Base Motorola GM-300</t>
  </si>
  <si>
    <t>Radio Telefono Portatil Motorola GP 300</t>
  </si>
  <si>
    <t>Radio Telefono Portatil Motorola PRO-5150</t>
  </si>
  <si>
    <t>EQUIPO OFICINA</t>
  </si>
  <si>
    <t>Circuito Cerrado TV 4 canales</t>
  </si>
  <si>
    <t>Fax Panasonic 1-800 Help</t>
  </si>
  <si>
    <t>Minicomponente Premium</t>
  </si>
  <si>
    <t>Maquina Escribie Brother CE650</t>
  </si>
  <si>
    <t>Proyector Acetatos y Opacos</t>
  </si>
  <si>
    <t>TV 14"</t>
  </si>
  <si>
    <t>TV Gold Star y Philips 20"</t>
  </si>
  <si>
    <t>TV LG 29"</t>
  </si>
  <si>
    <t>VHS LG DVD Combo</t>
  </si>
  <si>
    <t>VHS Sony</t>
  </si>
  <si>
    <t>Video Bean</t>
  </si>
  <si>
    <t>Fotocopiadora Imagerunner Cannon</t>
  </si>
  <si>
    <t>EQUIPO DE MEDICINA</t>
  </si>
  <si>
    <t>Agitador Mistral Misser</t>
  </si>
  <si>
    <t>Agitador Rotative Biotron BTR 87</t>
  </si>
  <si>
    <t>Alarma Central de Gases</t>
  </si>
  <si>
    <t>Aspirador Pediatrico Devilbis</t>
  </si>
  <si>
    <t>Baño Serologico Memmert</t>
  </si>
  <si>
    <t>Bomba Infusion Barter</t>
  </si>
  <si>
    <t>Cabitrone Bobcat</t>
  </si>
  <si>
    <t>Colposcopio Wallach</t>
  </si>
  <si>
    <t>Desfibrilador con monitoreo Burdick+Estabilizador y acce</t>
  </si>
  <si>
    <t>Dinamap Critikon</t>
  </si>
  <si>
    <t>Ecografo Shimadzu SDU350 mas Video E Imp Sony</t>
  </si>
  <si>
    <t>Electrobisturi Monopolar 3030</t>
  </si>
  <si>
    <t>Electrocardiografo Fakuda FX2111 mas estabilizador</t>
  </si>
  <si>
    <t>Electrocauterio Aaron 800</t>
  </si>
  <si>
    <t>Equipo organos y sentidos de pared</t>
  </si>
  <si>
    <t>Espirometro mas estabilizador</t>
  </si>
  <si>
    <t>Lensometro Zeiis</t>
  </si>
  <si>
    <t>Maquina anestesia Ohio</t>
  </si>
  <si>
    <t>Negatoscopio</t>
  </si>
  <si>
    <t>Monitor Fetal Baby Hunt Leigh</t>
  </si>
  <si>
    <t>Oximetro pulse max 71000A2</t>
  </si>
  <si>
    <t>RA 50 Bayer Análisi quimico</t>
  </si>
  <si>
    <t>Unidad digital de optometria Leonard</t>
  </si>
  <si>
    <t>Sierra electrica para retiro de yeso</t>
  </si>
  <si>
    <t>Amalgamdor Ultramat II</t>
  </si>
  <si>
    <t>Switch 4226T-3 con 24 puertos</t>
  </si>
  <si>
    <t>Queratometro Burton</t>
  </si>
  <si>
    <t>Proyector de Optotipos</t>
  </si>
  <si>
    <t>Unidad de odontologia fija electrica</t>
  </si>
  <si>
    <t>Doppler fetal con pantalla Huntlei</t>
  </si>
  <si>
    <t>Monitor signos vitales mec 1000</t>
  </si>
  <si>
    <t>Incubadora abierta completa</t>
  </si>
  <si>
    <t>Unidad portatil odontologica</t>
  </si>
  <si>
    <t>Laringoscopio</t>
  </si>
  <si>
    <t>Termotro digital Outdoor</t>
  </si>
  <si>
    <t>EQUIPO DE LABORATORIO</t>
  </si>
  <si>
    <t>Microcentrifuga Clay Adams 36 puestos</t>
  </si>
  <si>
    <t>Microscopio Layca</t>
  </si>
  <si>
    <t>Microscopio Olympus</t>
  </si>
  <si>
    <t>Microscopio Olympus CX-21</t>
  </si>
  <si>
    <t>Clase B: 12</t>
  </si>
  <si>
    <t>Equipo Odontología Pórtatil</t>
  </si>
  <si>
    <t>Equipo Tranferencia Aut de energía</t>
  </si>
  <si>
    <t>Hidroflow</t>
  </si>
  <si>
    <t>Compresor SFM Sculz</t>
  </si>
  <si>
    <t>Compresor SFM 1/2 HP</t>
  </si>
  <si>
    <t>Equipo odontoligia Milon</t>
  </si>
  <si>
    <t>Equipo RX Fiad Explorer</t>
  </si>
  <si>
    <t>Horno calor seco Auscolp - Bioesteril</t>
  </si>
  <si>
    <t>Autoclave Indelpa</t>
  </si>
  <si>
    <t>Lavadora Golden Girbau</t>
  </si>
  <si>
    <t>Maquina coser Singer</t>
  </si>
  <si>
    <t>Motobomba Inmersión Fuente</t>
  </si>
  <si>
    <t>Motobomba Siemens 9 HP</t>
  </si>
  <si>
    <t>Nevera Haceb</t>
  </si>
  <si>
    <t>Olla Autoclave All American</t>
  </si>
  <si>
    <t>Planta Electrica Portátil</t>
  </si>
  <si>
    <t>Planta Electrica Vem Fimax 5.5. KVA</t>
  </si>
  <si>
    <t>Red Central de Gases</t>
  </si>
  <si>
    <t>Refrigerador Vacunas</t>
  </si>
  <si>
    <t>Secadora Golden Girbau</t>
  </si>
  <si>
    <t>Subestación de Energía</t>
  </si>
  <si>
    <t>Autoclave 144 HS Horizontal Mod EA520T AU</t>
  </si>
  <si>
    <t>Lavadora 28 lbs Whirpool</t>
  </si>
  <si>
    <t>Equipo odontoligia Audencol</t>
  </si>
  <si>
    <t>VR INDIVIDUAL</t>
  </si>
  <si>
    <t>VR TOTAL</t>
  </si>
  <si>
    <t>OTROS CONTENIDOS</t>
  </si>
  <si>
    <t>Edificio</t>
  </si>
  <si>
    <t>Existencias Propias - Medicamentos</t>
  </si>
  <si>
    <t>DINEROS</t>
  </si>
  <si>
    <t>EQUIPO ELECTRONICO</t>
  </si>
  <si>
    <t>MAQUINARIA Y EQUIPO</t>
  </si>
  <si>
    <t>DESCRIPCION</t>
  </si>
  <si>
    <t>SUSTRACCION</t>
  </si>
  <si>
    <t>INCENDIO Y ANEXOS</t>
  </si>
  <si>
    <t>ROTURA MAQUINARIA</t>
  </si>
  <si>
    <t>Lampara varias para uso médico</t>
  </si>
  <si>
    <t>* Garantía de contrato de mantenimiento vigente para Equipo Electronico y Rotura de Maquinaria</t>
  </si>
  <si>
    <t>Computador HPDX2400</t>
  </si>
  <si>
    <t>Computador HP DC5800 Monitor LCD 17"</t>
  </si>
  <si>
    <t>Impresora HP Laser jet 1505</t>
  </si>
  <si>
    <t>Impresora HP Laser jet M1522 Multifuncional</t>
  </si>
  <si>
    <t>Camara Digital Sony DSC</t>
  </si>
  <si>
    <t>BENEFICIARIO MINISTERIO DE PROTECCION SOCIAL</t>
  </si>
  <si>
    <t>Equipos Desktp Lenovo</t>
  </si>
  <si>
    <t>Servidor IBM</t>
  </si>
  <si>
    <t>Impresora Laser Lexmark</t>
  </si>
  <si>
    <t>UPS Energex Ult 15000</t>
  </si>
  <si>
    <t>Enfermedades Graves (No como anticipo)</t>
  </si>
  <si>
    <t>R.C.E Motocicletas sublimitada a 50 /50 /100</t>
  </si>
  <si>
    <t>R.C.E ambulancias y camperos sublimitada a 200 /200 /400</t>
  </si>
  <si>
    <t>La RCE debe incluir amparo de DAÑO MORAL y LUCRO CESANTE</t>
  </si>
  <si>
    <t>Inspeccion en sede de la institucion o continudidad a la de la vigencia anterior de ASEGURADORA SOLIDARIA DE COLOMBIA</t>
  </si>
  <si>
    <t>* Restablecimiento automático de valor asegurado por pago de siniestro con cobro de prima por una sola vez</t>
  </si>
  <si>
    <t>* Incluye maquinaria y equipos usados</t>
  </si>
  <si>
    <t>Auxilio Funerario</t>
  </si>
  <si>
    <t>Bono mensual gastos de hogar</t>
  </si>
  <si>
    <t>meses</t>
  </si>
  <si>
    <t>* Continuidad póliza 9994000000147 Aseguradora Solidaria de Colombia.</t>
  </si>
  <si>
    <t>* Cobertura en RC para el Daño Moral y Lucro Cesante</t>
  </si>
  <si>
    <t>Computadores HP PRO3000 DC E5400 PP</t>
  </si>
  <si>
    <t>$200.000 por mes por 12</t>
  </si>
  <si>
    <t xml:space="preserve">que sufra el asegurado con motivo </t>
  </si>
  <si>
    <t>RELACION BIENES Y VALORES ASEGURADOS VIGENCIA 2011 - 2012</t>
  </si>
  <si>
    <t>Equipo Odontología Siemens</t>
  </si>
  <si>
    <t>Horno Haceb</t>
  </si>
  <si>
    <t>4 Camas de Levantedos planos con baranda</t>
  </si>
  <si>
    <t>9 Camas de Levantedos planos SIN baranda</t>
  </si>
  <si>
    <t xml:space="preserve">trabajo de cargue y </t>
  </si>
  <si>
    <t>descargue y transporte</t>
  </si>
  <si>
    <t xml:space="preserve"> y control</t>
  </si>
  <si>
    <t>Evento</t>
  </si>
  <si>
    <t>Vigencia</t>
  </si>
  <si>
    <t>Aspiradora Quir De Succion Cont Medi Pump 3 y Carburos</t>
  </si>
  <si>
    <t>Incubadora ITI58TS Fanem mas estabilizador</t>
  </si>
  <si>
    <t>Incubadora cultivos Memmert</t>
  </si>
  <si>
    <t>Equipo organos y sentidos portatil</t>
  </si>
  <si>
    <t>Equipo de hematología automatizado Abacos Junior SN 110856</t>
  </si>
  <si>
    <t>Equipo de quimica clinica Biosystem BTS330</t>
  </si>
  <si>
    <t>Centrifuga Cley Adams Mod. 420104</t>
  </si>
  <si>
    <t>Comodato</t>
  </si>
  <si>
    <t>Fotocopiadora Kyosera</t>
  </si>
  <si>
    <t>UPS APC 10 Kv</t>
  </si>
  <si>
    <t>Equipo de aire acondicionado Colclima</t>
  </si>
  <si>
    <t>Equipo de aire acondicionado - Split</t>
  </si>
  <si>
    <t xml:space="preserve">TOTAL GENERAL: </t>
  </si>
  <si>
    <t>CANT IDAD</t>
  </si>
  <si>
    <t>Nisan Urban</t>
  </si>
  <si>
    <t>PROGRAMA DE SEGUROS -- 2011 - 2012</t>
  </si>
  <si>
    <t>ESE HOSPITAL SAN JOSE DE BELEN DE UMBRIA, RISARALDA</t>
  </si>
  <si>
    <t>891.408.918-1</t>
  </si>
  <si>
    <t>NIT: 891.408.918-1</t>
  </si>
  <si>
    <t xml:space="preserve">IVA  </t>
  </si>
  <si>
    <t xml:space="preserve">TOTAL ANUAL </t>
  </si>
  <si>
    <t xml:space="preserve">SUBTOTAL </t>
  </si>
  <si>
    <t>YXO-23</t>
  </si>
  <si>
    <t>OQJ-079</t>
  </si>
  <si>
    <t>ZD30181820K</t>
  </si>
  <si>
    <t>18 funcionarios según listado anexo</t>
  </si>
  <si>
    <t>ACEVEDO GOMEZ ADRIANA CECILIA</t>
  </si>
  <si>
    <t>ARIAS CEBALLOS ISABEL CRISTINA</t>
  </si>
  <si>
    <t>ARIAS JARAMILLO CLAUDIA MILENA</t>
  </si>
  <si>
    <t>ARROYAVE JIMENEZ MARIA DALILA</t>
  </si>
  <si>
    <t xml:space="preserve">BEDOYA GRISALES NANCY </t>
  </si>
  <si>
    <t>GUZMAN ARREDONDO HENRY DE JESUS</t>
  </si>
  <si>
    <t>JARAMILLO JIMENEZ BLANCA NIDIA</t>
  </si>
  <si>
    <t xml:space="preserve">MERCADO CERVANTES RAFAELA </t>
  </si>
  <si>
    <t>MONTOYA HERNANDEZ LUZ ADRIANA</t>
  </si>
  <si>
    <t>OROZCO VILLA MARIA LUISA</t>
  </si>
  <si>
    <t>OSORIO CARDONA EUGENIA MARIA</t>
  </si>
  <si>
    <t>OSORIO GAVIRIA DORA LETICIA</t>
  </si>
  <si>
    <t>RAMIREZ OSPINA LUZ ENID</t>
  </si>
  <si>
    <t>SABAS GARCES CIELO DE JESUS</t>
  </si>
  <si>
    <t>TREJOS GAÑAN OFFIR DE JESUS</t>
  </si>
  <si>
    <t>VALENCIA RESTREPO ROSA JULIETH</t>
  </si>
  <si>
    <t>VELEZ TABARES CARLOS ALBERTO</t>
  </si>
  <si>
    <t xml:space="preserve">MARULANDA OSORNO ARLEY </t>
  </si>
  <si>
    <t>Nombres</t>
  </si>
  <si>
    <t>Identificación</t>
  </si>
  <si>
    <t>Fecha nacimiento</t>
  </si>
  <si>
    <t xml:space="preserve">TOTAL FUNCIONARIOS: 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</si>
</sst>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&quot;€&quot;\ * #,##0.00_);_(&quot;€&quot;\ * \(#,##0.00\);_(&quot;€&quot;\ 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-* #,##0.0\ _€_-;\-* #,##0.0\ _€_-;_-* &quot;-&quot;??\ _€_-;_-@_-"/>
    <numFmt numFmtId="195" formatCode="_-* #,##0\ _€_-;\-* #,##0\ _€_-;_-* &quot;-&quot;??\ _€_-;_-@_-"/>
    <numFmt numFmtId="196" formatCode="_-* #,##0_-;\-* #,##0_-;_-* &quot;-&quot;??_-;_-@_-"/>
    <numFmt numFmtId="197" formatCode="0.0%"/>
    <numFmt numFmtId="198" formatCode="_-* #,##0.000\ _€_-;\-* #,##0.000\ _€_-;_-* &quot;-&quot;??\ _€_-;_-@_-"/>
    <numFmt numFmtId="199" formatCode="_-* #,##0.0000\ _€_-;\-* #,##0.0000\ _€_-;_-* &quot;-&quot;??\ _€_-;_-@_-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i/>
      <u val="single"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5">
    <xf numFmtId="0" fontId="0" fillId="0" borderId="0" xfId="0" applyAlignment="1">
      <alignment/>
    </xf>
    <xf numFmtId="195" fontId="0" fillId="0" borderId="0" xfId="48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95" fontId="0" fillId="0" borderId="12" xfId="48" applyNumberFormat="1" applyFont="1" applyBorder="1" applyAlignment="1">
      <alignment/>
    </xf>
    <xf numFmtId="195" fontId="0" fillId="0" borderId="11" xfId="48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95" fontId="0" fillId="0" borderId="13" xfId="48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10" xfId="48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48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/>
    </xf>
    <xf numFmtId="195" fontId="0" fillId="0" borderId="12" xfId="48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9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195" fontId="0" fillId="0" borderId="0" xfId="48" applyNumberFormat="1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95" fontId="5" fillId="0" borderId="13" xfId="48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195" fontId="0" fillId="0" borderId="12" xfId="48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95" fontId="5" fillId="0" borderId="0" xfId="48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195" fontId="4" fillId="0" borderId="17" xfId="48" applyNumberFormat="1" applyFont="1" applyBorder="1" applyAlignment="1">
      <alignment/>
    </xf>
    <xf numFmtId="0" fontId="5" fillId="0" borderId="17" xfId="0" applyFont="1" applyBorder="1" applyAlignment="1">
      <alignment/>
    </xf>
    <xf numFmtId="195" fontId="5" fillId="0" borderId="17" xfId="48" applyNumberFormat="1" applyFont="1" applyBorder="1" applyAlignment="1">
      <alignment/>
    </xf>
    <xf numFmtId="195" fontId="4" fillId="0" borderId="19" xfId="48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195" fontId="5" fillId="0" borderId="17" xfId="0" applyNumberFormat="1" applyFont="1" applyBorder="1" applyAlignment="1">
      <alignment/>
    </xf>
    <xf numFmtId="185" fontId="4" fillId="0" borderId="17" xfId="48" applyFont="1" applyBorder="1" applyAlignment="1">
      <alignment/>
    </xf>
    <xf numFmtId="185" fontId="4" fillId="0" borderId="19" xfId="48" applyFont="1" applyBorder="1" applyAlignment="1">
      <alignment/>
    </xf>
    <xf numFmtId="3" fontId="4" fillId="0" borderId="13" xfId="48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3" xfId="48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1" xfId="48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0" fontId="0" fillId="33" borderId="12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95" fontId="1" fillId="0" borderId="11" xfId="48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95" fontId="0" fillId="0" borderId="14" xfId="48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1" fontId="28" fillId="0" borderId="13" xfId="0" applyNumberFormat="1" applyFont="1" applyBorder="1" applyAlignment="1">
      <alignment/>
    </xf>
    <xf numFmtId="14" fontId="28" fillId="0" borderId="13" xfId="0" applyNumberFormat="1" applyFont="1" applyBorder="1" applyAlignment="1">
      <alignment/>
    </xf>
    <xf numFmtId="1" fontId="29" fillId="0" borderId="13" xfId="0" applyNumberFormat="1" applyFont="1" applyBorder="1" applyAlignment="1">
      <alignment horizontal="right"/>
    </xf>
    <xf numFmtId="1" fontId="28" fillId="0" borderId="0" xfId="0" applyNumberFormat="1" applyFont="1" applyAlignment="1">
      <alignment/>
    </xf>
    <xf numFmtId="14" fontId="28" fillId="0" borderId="0" xfId="0" applyNumberFormat="1" applyFont="1" applyAlignment="1">
      <alignment/>
    </xf>
    <xf numFmtId="0" fontId="28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50.28125" style="0" customWidth="1"/>
    <col min="2" max="2" width="6.00390625" style="0" bestFit="1" customWidth="1"/>
    <col min="3" max="9" width="12.8515625" style="0" customWidth="1"/>
  </cols>
  <sheetData>
    <row r="1" spans="1:9" ht="15.75">
      <c r="A1" s="71" t="s">
        <v>308</v>
      </c>
      <c r="B1" s="71"/>
      <c r="C1" s="71"/>
      <c r="D1" s="71"/>
      <c r="E1" s="71"/>
      <c r="F1" s="71"/>
      <c r="G1" s="71"/>
      <c r="H1" s="71"/>
      <c r="I1" s="71"/>
    </row>
    <row r="2" spans="1:9" ht="15.75">
      <c r="A2" s="71" t="s">
        <v>310</v>
      </c>
      <c r="B2" s="71"/>
      <c r="C2" s="71"/>
      <c r="D2" s="71"/>
      <c r="E2" s="71"/>
      <c r="F2" s="71"/>
      <c r="G2" s="71"/>
      <c r="H2" s="71"/>
      <c r="I2" s="71"/>
    </row>
    <row r="3" spans="1:9" ht="4.5" customHeight="1">
      <c r="A3" s="76"/>
      <c r="B3" s="76"/>
      <c r="C3" s="76"/>
      <c r="D3" s="76"/>
      <c r="E3" s="76"/>
      <c r="F3" s="76"/>
      <c r="G3" s="76"/>
      <c r="H3" s="76"/>
      <c r="I3" s="76"/>
    </row>
    <row r="4" spans="1:9" ht="15.75">
      <c r="A4" s="71" t="s">
        <v>282</v>
      </c>
      <c r="B4" s="71"/>
      <c r="C4" s="71"/>
      <c r="D4" s="71"/>
      <c r="E4" s="71"/>
      <c r="F4" s="71"/>
      <c r="G4" s="71"/>
      <c r="H4" s="71"/>
      <c r="I4" s="71"/>
    </row>
    <row r="5" spans="1:9" ht="5.25" customHeight="1">
      <c r="A5" s="26"/>
      <c r="B5" s="26"/>
      <c r="C5" s="26"/>
      <c r="D5" s="26"/>
      <c r="E5" s="26"/>
      <c r="F5" s="27"/>
      <c r="G5" s="27"/>
      <c r="H5" s="27"/>
      <c r="I5" s="27"/>
    </row>
    <row r="6" spans="1:9" ht="38.25">
      <c r="A6" s="93" t="s">
        <v>251</v>
      </c>
      <c r="B6" s="69" t="s">
        <v>305</v>
      </c>
      <c r="C6" s="69" t="s">
        <v>243</v>
      </c>
      <c r="D6" s="69" t="s">
        <v>244</v>
      </c>
      <c r="E6" s="69" t="s">
        <v>253</v>
      </c>
      <c r="F6" s="69" t="s">
        <v>252</v>
      </c>
      <c r="G6" s="69" t="s">
        <v>249</v>
      </c>
      <c r="H6" s="69" t="s">
        <v>254</v>
      </c>
      <c r="I6" s="69" t="s">
        <v>131</v>
      </c>
    </row>
    <row r="7" spans="1:9" ht="12.75">
      <c r="A7" s="28" t="s">
        <v>246</v>
      </c>
      <c r="B7" s="28">
        <v>1</v>
      </c>
      <c r="C7" s="61">
        <f>1755000000*1.05</f>
        <v>1842750000</v>
      </c>
      <c r="D7" s="61">
        <f>+B7*C7</f>
        <v>1842750000</v>
      </c>
      <c r="E7" s="61">
        <f>+D7</f>
        <v>1842750000</v>
      </c>
      <c r="F7" s="62">
        <v>0</v>
      </c>
      <c r="G7" s="62">
        <v>0</v>
      </c>
      <c r="H7" s="62"/>
      <c r="I7" s="62"/>
    </row>
    <row r="8" spans="1:9" ht="12.75">
      <c r="A8" s="28" t="s">
        <v>247</v>
      </c>
      <c r="B8" s="28">
        <v>1</v>
      </c>
      <c r="C8" s="61">
        <v>3000000</v>
      </c>
      <c r="D8" s="61">
        <f>+B8*C8</f>
        <v>3000000</v>
      </c>
      <c r="E8" s="61">
        <f>+D8</f>
        <v>3000000</v>
      </c>
      <c r="F8" s="62">
        <f>+E8</f>
        <v>3000000</v>
      </c>
      <c r="G8" s="62">
        <v>0</v>
      </c>
      <c r="H8" s="62"/>
      <c r="I8" s="62"/>
    </row>
    <row r="9" spans="1:9" ht="12.75">
      <c r="A9" s="46"/>
      <c r="B9" s="46"/>
      <c r="C9" s="52"/>
      <c r="D9" s="52"/>
      <c r="E9" s="52"/>
      <c r="F9" s="46"/>
      <c r="G9" s="46"/>
      <c r="H9" s="46"/>
      <c r="I9" s="46"/>
    </row>
    <row r="10" spans="1:9" ht="12.75">
      <c r="A10" s="47" t="s">
        <v>250</v>
      </c>
      <c r="B10" s="51"/>
      <c r="C10" s="51"/>
      <c r="D10" s="51"/>
      <c r="E10" s="51"/>
      <c r="F10" s="51"/>
      <c r="G10" s="51"/>
      <c r="H10" s="51"/>
      <c r="I10" s="51"/>
    </row>
    <row r="11" spans="1:9" ht="12.75">
      <c r="A11" s="28" t="s">
        <v>219</v>
      </c>
      <c r="B11" s="28">
        <v>1</v>
      </c>
      <c r="C11" s="61">
        <v>3800000</v>
      </c>
      <c r="D11" s="61">
        <f>+B11*C11</f>
        <v>3800000</v>
      </c>
      <c r="E11" s="61">
        <f>+D11</f>
        <v>3800000</v>
      </c>
      <c r="F11" s="61">
        <f>+E11</f>
        <v>3800000</v>
      </c>
      <c r="G11" s="62">
        <v>0</v>
      </c>
      <c r="H11" s="62">
        <f>+F11</f>
        <v>3800000</v>
      </c>
      <c r="I11" s="62">
        <v>0</v>
      </c>
    </row>
    <row r="12" spans="1:9" ht="12.75">
      <c r="A12" s="28" t="s">
        <v>283</v>
      </c>
      <c r="B12" s="28">
        <v>1</v>
      </c>
      <c r="C12" s="61">
        <f>3888983*1.05</f>
        <v>4083432.1500000004</v>
      </c>
      <c r="D12" s="61">
        <f aca="true" t="shared" si="0" ref="D12:D39">+B12*C12</f>
        <v>4083432.1500000004</v>
      </c>
      <c r="E12" s="61">
        <f aca="true" t="shared" si="1" ref="E12:E39">+D12</f>
        <v>4083432.1500000004</v>
      </c>
      <c r="F12" s="61">
        <v>0</v>
      </c>
      <c r="G12" s="62">
        <v>0</v>
      </c>
      <c r="H12" s="62">
        <f>+E12</f>
        <v>4083432.1500000004</v>
      </c>
      <c r="I12" s="62"/>
    </row>
    <row r="13" spans="1:9" ht="12.75">
      <c r="A13" s="28" t="s">
        <v>225</v>
      </c>
      <c r="B13" s="28">
        <v>1</v>
      </c>
      <c r="C13" s="61">
        <f>3149280*1.05</f>
        <v>3306744</v>
      </c>
      <c r="D13" s="61">
        <f t="shared" si="0"/>
        <v>3306744</v>
      </c>
      <c r="E13" s="61">
        <f t="shared" si="1"/>
        <v>3306744</v>
      </c>
      <c r="F13" s="61">
        <v>0</v>
      </c>
      <c r="G13" s="62">
        <v>0</v>
      </c>
      <c r="H13" s="62">
        <f>+E13</f>
        <v>3306744</v>
      </c>
      <c r="I13" s="62"/>
    </row>
    <row r="14" spans="1:9" ht="12.75">
      <c r="A14" s="28" t="s">
        <v>220</v>
      </c>
      <c r="B14" s="28">
        <v>1</v>
      </c>
      <c r="C14" s="61">
        <f>12597120*1.05</f>
        <v>13226976</v>
      </c>
      <c r="D14" s="61">
        <f t="shared" si="0"/>
        <v>13226976</v>
      </c>
      <c r="E14" s="61">
        <f t="shared" si="1"/>
        <v>13226976</v>
      </c>
      <c r="F14" s="61">
        <f aca="true" t="shared" si="2" ref="F14:F20">+D14</f>
        <v>13226976</v>
      </c>
      <c r="G14" s="62">
        <v>0</v>
      </c>
      <c r="H14" s="62">
        <f>+E14</f>
        <v>13226976</v>
      </c>
      <c r="I14" s="62"/>
    </row>
    <row r="15" spans="1:9" ht="12.75">
      <c r="A15" s="28" t="s">
        <v>221</v>
      </c>
      <c r="B15" s="28">
        <v>2</v>
      </c>
      <c r="C15" s="61">
        <f>2267482*1.05</f>
        <v>2380856.1</v>
      </c>
      <c r="D15" s="61">
        <f t="shared" si="0"/>
        <v>4761712.2</v>
      </c>
      <c r="E15" s="61">
        <f t="shared" si="1"/>
        <v>4761712.2</v>
      </c>
      <c r="F15" s="61">
        <f t="shared" si="2"/>
        <v>4761712.2</v>
      </c>
      <c r="G15" s="62">
        <v>0</v>
      </c>
      <c r="H15" s="61">
        <f aca="true" t="shared" si="3" ref="H15:H39">+D15</f>
        <v>4761712.2</v>
      </c>
      <c r="I15" s="62"/>
    </row>
    <row r="16" spans="1:9" ht="12.75">
      <c r="A16" s="28" t="s">
        <v>226</v>
      </c>
      <c r="B16" s="28">
        <v>1</v>
      </c>
      <c r="C16" s="61">
        <f>2015539*1.05</f>
        <v>2116315.95</v>
      </c>
      <c r="D16" s="61">
        <f t="shared" si="0"/>
        <v>2116315.95</v>
      </c>
      <c r="E16" s="61">
        <f t="shared" si="1"/>
        <v>2116315.95</v>
      </c>
      <c r="F16" s="61">
        <f t="shared" si="2"/>
        <v>2116315.95</v>
      </c>
      <c r="G16" s="62">
        <v>0</v>
      </c>
      <c r="H16" s="61">
        <f t="shared" si="3"/>
        <v>2116315.95</v>
      </c>
      <c r="I16" s="62"/>
    </row>
    <row r="17" spans="1:9" ht="12.75">
      <c r="A17" s="28" t="s">
        <v>284</v>
      </c>
      <c r="B17" s="28">
        <v>1</v>
      </c>
      <c r="C17" s="61">
        <f>566870*1.05</f>
        <v>595213.5</v>
      </c>
      <c r="D17" s="61">
        <f t="shared" si="0"/>
        <v>595213.5</v>
      </c>
      <c r="E17" s="61">
        <f t="shared" si="1"/>
        <v>595213.5</v>
      </c>
      <c r="F17" s="61">
        <f t="shared" si="2"/>
        <v>595213.5</v>
      </c>
      <c r="G17" s="62">
        <v>0</v>
      </c>
      <c r="H17" s="61">
        <f t="shared" si="3"/>
        <v>595213.5</v>
      </c>
      <c r="I17" s="62"/>
    </row>
    <row r="18" spans="1:9" ht="12.75">
      <c r="A18" s="28" t="s">
        <v>227</v>
      </c>
      <c r="B18" s="28">
        <v>1</v>
      </c>
      <c r="C18" s="61">
        <f>2519424*1.05</f>
        <v>2645395.2</v>
      </c>
      <c r="D18" s="61">
        <f t="shared" si="0"/>
        <v>2645395.2</v>
      </c>
      <c r="E18" s="61">
        <f t="shared" si="1"/>
        <v>2645395.2</v>
      </c>
      <c r="F18" s="61">
        <f t="shared" si="2"/>
        <v>2645395.2</v>
      </c>
      <c r="G18" s="62">
        <v>0</v>
      </c>
      <c r="H18" s="61">
        <f t="shared" si="3"/>
        <v>2645395.2</v>
      </c>
      <c r="I18" s="62"/>
    </row>
    <row r="19" spans="1:9" ht="12.75">
      <c r="A19" s="28" t="s">
        <v>223</v>
      </c>
      <c r="B19" s="28">
        <v>1</v>
      </c>
      <c r="C19" s="61">
        <f>905932*1.05</f>
        <v>951228.6000000001</v>
      </c>
      <c r="D19" s="61">
        <f t="shared" si="0"/>
        <v>951228.6000000001</v>
      </c>
      <c r="E19" s="61">
        <f t="shared" si="1"/>
        <v>951228.6000000001</v>
      </c>
      <c r="F19" s="61">
        <f t="shared" si="2"/>
        <v>951228.6000000001</v>
      </c>
      <c r="G19" s="62">
        <v>0</v>
      </c>
      <c r="H19" s="61">
        <f t="shared" si="3"/>
        <v>951228.6000000001</v>
      </c>
      <c r="I19" s="62"/>
    </row>
    <row r="20" spans="1:9" ht="12.75">
      <c r="A20" s="28" t="s">
        <v>222</v>
      </c>
      <c r="B20" s="28">
        <v>1</v>
      </c>
      <c r="C20" s="61">
        <f>4403953*1.05</f>
        <v>4624150.65</v>
      </c>
      <c r="D20" s="61">
        <f t="shared" si="0"/>
        <v>4624150.65</v>
      </c>
      <c r="E20" s="61">
        <f t="shared" si="1"/>
        <v>4624150.65</v>
      </c>
      <c r="F20" s="61">
        <f t="shared" si="2"/>
        <v>4624150.65</v>
      </c>
      <c r="G20" s="62">
        <v>0</v>
      </c>
      <c r="H20" s="61">
        <f t="shared" si="3"/>
        <v>4624150.65</v>
      </c>
      <c r="I20" s="62"/>
    </row>
    <row r="21" spans="1:9" ht="12.75">
      <c r="A21" s="28" t="s">
        <v>302</v>
      </c>
      <c r="B21" s="28">
        <v>2</v>
      </c>
      <c r="C21" s="61">
        <f>1889568*1.05</f>
        <v>1984046.4000000001</v>
      </c>
      <c r="D21" s="61">
        <f t="shared" si="0"/>
        <v>3968092.8000000003</v>
      </c>
      <c r="E21" s="61">
        <f t="shared" si="1"/>
        <v>3968092.8000000003</v>
      </c>
      <c r="F21" s="61">
        <v>0</v>
      </c>
      <c r="G21" s="62">
        <v>0</v>
      </c>
      <c r="H21" s="61">
        <f t="shared" si="3"/>
        <v>3968092.8000000003</v>
      </c>
      <c r="I21" s="62"/>
    </row>
    <row r="22" spans="1:9" ht="12.75">
      <c r="A22" s="28" t="s">
        <v>303</v>
      </c>
      <c r="B22" s="28">
        <v>1</v>
      </c>
      <c r="C22" s="61">
        <v>2150000</v>
      </c>
      <c r="D22" s="61">
        <f>+B22*C22</f>
        <v>2150000</v>
      </c>
      <c r="E22" s="61">
        <f>+D22</f>
        <v>2150000</v>
      </c>
      <c r="F22" s="61">
        <v>0</v>
      </c>
      <c r="G22" s="62">
        <v>0</v>
      </c>
      <c r="H22" s="61">
        <f>+D22</f>
        <v>2150000</v>
      </c>
      <c r="I22" s="62"/>
    </row>
    <row r="23" spans="1:9" ht="12.75">
      <c r="A23" s="28" t="s">
        <v>242</v>
      </c>
      <c r="B23" s="28">
        <v>1</v>
      </c>
      <c r="C23" s="61">
        <f>3888983*1.05</f>
        <v>4083432.1500000004</v>
      </c>
      <c r="D23" s="61">
        <f t="shared" si="0"/>
        <v>4083432.1500000004</v>
      </c>
      <c r="E23" s="61">
        <f t="shared" si="1"/>
        <v>4083432.1500000004</v>
      </c>
      <c r="F23" s="61">
        <v>0</v>
      </c>
      <c r="G23" s="62">
        <v>0</v>
      </c>
      <c r="H23" s="61">
        <f t="shared" si="3"/>
        <v>4083432.1500000004</v>
      </c>
      <c r="I23" s="62"/>
    </row>
    <row r="24" spans="1:9" ht="12.75">
      <c r="A24" s="28" t="s">
        <v>224</v>
      </c>
      <c r="B24" s="28">
        <v>1</v>
      </c>
      <c r="C24" s="61">
        <f>3888983*1.05</f>
        <v>4083432.1500000004</v>
      </c>
      <c r="D24" s="61">
        <f t="shared" si="0"/>
        <v>4083432.1500000004</v>
      </c>
      <c r="E24" s="61">
        <f t="shared" si="1"/>
        <v>4083432.1500000004</v>
      </c>
      <c r="F24" s="61">
        <v>0</v>
      </c>
      <c r="G24" s="62">
        <v>0</v>
      </c>
      <c r="H24" s="61">
        <f t="shared" si="3"/>
        <v>4083432.1500000004</v>
      </c>
      <c r="I24" s="62"/>
    </row>
    <row r="25" spans="1:9" ht="12.75">
      <c r="A25" s="28" t="s">
        <v>228</v>
      </c>
      <c r="B25" s="28">
        <v>1</v>
      </c>
      <c r="C25" s="61">
        <f>7558272*1.05</f>
        <v>7936185.600000001</v>
      </c>
      <c r="D25" s="61">
        <f t="shared" si="0"/>
        <v>7936185.600000001</v>
      </c>
      <c r="E25" s="61">
        <f t="shared" si="1"/>
        <v>7936185.600000001</v>
      </c>
      <c r="F25" s="61">
        <v>0</v>
      </c>
      <c r="G25" s="62">
        <v>0</v>
      </c>
      <c r="H25" s="61">
        <f t="shared" si="3"/>
        <v>7936185.600000001</v>
      </c>
      <c r="I25" s="62"/>
    </row>
    <row r="26" spans="1:9" ht="12.75">
      <c r="A26" s="28" t="s">
        <v>229</v>
      </c>
      <c r="B26" s="28">
        <v>3</v>
      </c>
      <c r="C26" s="61">
        <f>349920*1.08</f>
        <v>377913.60000000003</v>
      </c>
      <c r="D26" s="61">
        <f t="shared" si="0"/>
        <v>1133740.8</v>
      </c>
      <c r="E26" s="61">
        <f t="shared" si="1"/>
        <v>1133740.8</v>
      </c>
      <c r="F26" s="61">
        <f aca="true" t="shared" si="4" ref="F26:F31">+D26</f>
        <v>1133740.8</v>
      </c>
      <c r="G26" s="62">
        <v>0</v>
      </c>
      <c r="H26" s="61">
        <f t="shared" si="3"/>
        <v>1133740.8</v>
      </c>
      <c r="I26" s="62"/>
    </row>
    <row r="27" spans="1:9" ht="12.75">
      <c r="A27" s="28" t="s">
        <v>230</v>
      </c>
      <c r="B27" s="28">
        <v>1</v>
      </c>
      <c r="C27" s="61">
        <f>944784*1.05</f>
        <v>992023.2000000001</v>
      </c>
      <c r="D27" s="61">
        <f t="shared" si="0"/>
        <v>992023.2000000001</v>
      </c>
      <c r="E27" s="61">
        <f t="shared" si="1"/>
        <v>992023.2000000001</v>
      </c>
      <c r="F27" s="61">
        <f t="shared" si="4"/>
        <v>992023.2000000001</v>
      </c>
      <c r="G27" s="62">
        <v>0</v>
      </c>
      <c r="H27" s="61">
        <f t="shared" si="3"/>
        <v>992023.2000000001</v>
      </c>
      <c r="I27" s="62"/>
    </row>
    <row r="28" spans="1:9" ht="12.75">
      <c r="A28" s="28" t="s">
        <v>231</v>
      </c>
      <c r="B28" s="28">
        <v>3</v>
      </c>
      <c r="C28" s="61">
        <v>2380856</v>
      </c>
      <c r="D28" s="61">
        <f t="shared" si="0"/>
        <v>7142568</v>
      </c>
      <c r="E28" s="61">
        <f t="shared" si="1"/>
        <v>7142568</v>
      </c>
      <c r="F28" s="61">
        <f t="shared" si="4"/>
        <v>7142568</v>
      </c>
      <c r="G28" s="62">
        <v>0</v>
      </c>
      <c r="H28" s="61">
        <f t="shared" si="3"/>
        <v>7142568</v>
      </c>
      <c r="I28" s="62"/>
    </row>
    <row r="29" spans="1:9" ht="12.75">
      <c r="A29" s="28" t="s">
        <v>232</v>
      </c>
      <c r="B29" s="28">
        <v>7</v>
      </c>
      <c r="C29" s="61">
        <f>1133741*1.05</f>
        <v>1190428.05</v>
      </c>
      <c r="D29" s="61">
        <f t="shared" si="0"/>
        <v>8332996.350000001</v>
      </c>
      <c r="E29" s="61">
        <f t="shared" si="1"/>
        <v>8332996.350000001</v>
      </c>
      <c r="F29" s="61">
        <f t="shared" si="4"/>
        <v>8332996.350000001</v>
      </c>
      <c r="G29" s="62">
        <v>0</v>
      </c>
      <c r="H29" s="61">
        <f t="shared" si="3"/>
        <v>8332996.350000001</v>
      </c>
      <c r="I29" s="62"/>
    </row>
    <row r="30" spans="1:9" ht="12.75">
      <c r="A30" s="28" t="s">
        <v>233</v>
      </c>
      <c r="B30" s="28">
        <v>1</v>
      </c>
      <c r="C30" s="61">
        <f>7558272*1.05</f>
        <v>7936185.600000001</v>
      </c>
      <c r="D30" s="61">
        <f t="shared" si="0"/>
        <v>7936185.600000001</v>
      </c>
      <c r="E30" s="61">
        <f t="shared" si="1"/>
        <v>7936185.600000001</v>
      </c>
      <c r="F30" s="61">
        <f t="shared" si="4"/>
        <v>7936185.600000001</v>
      </c>
      <c r="G30" s="62">
        <v>0</v>
      </c>
      <c r="H30" s="61">
        <f t="shared" si="3"/>
        <v>7936185.600000001</v>
      </c>
      <c r="I30" s="62"/>
    </row>
    <row r="31" spans="1:9" ht="12.75">
      <c r="A31" s="28" t="s">
        <v>234</v>
      </c>
      <c r="B31" s="28">
        <v>1</v>
      </c>
      <c r="C31" s="61">
        <f>2015539*1.05</f>
        <v>2116315.95</v>
      </c>
      <c r="D31" s="61">
        <f t="shared" si="0"/>
        <v>2116315.95</v>
      </c>
      <c r="E31" s="61">
        <f t="shared" si="1"/>
        <v>2116315.95</v>
      </c>
      <c r="F31" s="61">
        <f t="shared" si="4"/>
        <v>2116315.95</v>
      </c>
      <c r="G31" s="62">
        <v>0</v>
      </c>
      <c r="H31" s="61">
        <f t="shared" si="3"/>
        <v>2116315.95</v>
      </c>
      <c r="I31" s="62"/>
    </row>
    <row r="32" spans="1:9" ht="12.75">
      <c r="A32" s="28" t="s">
        <v>235</v>
      </c>
      <c r="B32" s="28">
        <v>1</v>
      </c>
      <c r="C32" s="61">
        <f>37791360*1.05</f>
        <v>39680928</v>
      </c>
      <c r="D32" s="61">
        <f t="shared" si="0"/>
        <v>39680928</v>
      </c>
      <c r="E32" s="61">
        <f t="shared" si="1"/>
        <v>39680928</v>
      </c>
      <c r="F32" s="61">
        <v>0</v>
      </c>
      <c r="G32" s="62">
        <v>0</v>
      </c>
      <c r="H32" s="61">
        <f t="shared" si="3"/>
        <v>39680928</v>
      </c>
      <c r="I32" s="62"/>
    </row>
    <row r="33" spans="1:9" ht="12.75">
      <c r="A33" s="28" t="s">
        <v>236</v>
      </c>
      <c r="B33" s="28">
        <v>1</v>
      </c>
      <c r="C33" s="61">
        <f>9447840*1.05</f>
        <v>9920232</v>
      </c>
      <c r="D33" s="61">
        <f t="shared" si="0"/>
        <v>9920232</v>
      </c>
      <c r="E33" s="61">
        <f t="shared" si="1"/>
        <v>9920232</v>
      </c>
      <c r="F33" s="61">
        <v>0</v>
      </c>
      <c r="G33" s="62">
        <v>0</v>
      </c>
      <c r="H33" s="61">
        <f t="shared" si="3"/>
        <v>9920232</v>
      </c>
      <c r="I33" s="62"/>
    </row>
    <row r="34" spans="1:9" ht="12.75">
      <c r="A34" s="28" t="s">
        <v>237</v>
      </c>
      <c r="B34" s="28">
        <v>1</v>
      </c>
      <c r="C34" s="61">
        <f>1889568*1.05</f>
        <v>1984046.4000000001</v>
      </c>
      <c r="D34" s="61">
        <f t="shared" si="0"/>
        <v>1984046.4000000001</v>
      </c>
      <c r="E34" s="61">
        <f t="shared" si="1"/>
        <v>1984046.4000000001</v>
      </c>
      <c r="F34" s="61">
        <v>0</v>
      </c>
      <c r="G34" s="62">
        <v>0</v>
      </c>
      <c r="H34" s="61">
        <f t="shared" si="3"/>
        <v>1984046.4000000001</v>
      </c>
      <c r="I34" s="62"/>
    </row>
    <row r="35" spans="1:9" ht="12.75">
      <c r="A35" s="28" t="s">
        <v>238</v>
      </c>
      <c r="B35" s="28">
        <v>1</v>
      </c>
      <c r="C35" s="61">
        <f>7558272*1.05</f>
        <v>7936185.600000001</v>
      </c>
      <c r="D35" s="61">
        <f t="shared" si="0"/>
        <v>7936185.600000001</v>
      </c>
      <c r="E35" s="61">
        <f t="shared" si="1"/>
        <v>7936185.600000001</v>
      </c>
      <c r="F35" s="61">
        <v>0</v>
      </c>
      <c r="G35" s="62">
        <v>0</v>
      </c>
      <c r="H35" s="61">
        <f t="shared" si="3"/>
        <v>7936185.600000001</v>
      </c>
      <c r="I35" s="62"/>
    </row>
    <row r="36" spans="1:9" ht="12.75">
      <c r="A36" s="28" t="s">
        <v>239</v>
      </c>
      <c r="B36" s="28">
        <v>1</v>
      </c>
      <c r="C36" s="61">
        <f>31492800*1.05</f>
        <v>33067440</v>
      </c>
      <c r="D36" s="61">
        <f t="shared" si="0"/>
        <v>33067440</v>
      </c>
      <c r="E36" s="61">
        <f t="shared" si="1"/>
        <v>33067440</v>
      </c>
      <c r="F36" s="61">
        <v>0</v>
      </c>
      <c r="G36" s="62">
        <v>0</v>
      </c>
      <c r="H36" s="61">
        <f t="shared" si="3"/>
        <v>33067440</v>
      </c>
      <c r="I36" s="62"/>
    </row>
    <row r="37" spans="1:9" ht="12.75">
      <c r="A37" s="28" t="s">
        <v>240</v>
      </c>
      <c r="B37" s="28">
        <v>1</v>
      </c>
      <c r="C37" s="61">
        <f>20995200*1.05</f>
        <v>22044960</v>
      </c>
      <c r="D37" s="61">
        <f t="shared" si="0"/>
        <v>22044960</v>
      </c>
      <c r="E37" s="61">
        <f t="shared" si="1"/>
        <v>22044960</v>
      </c>
      <c r="F37" s="61">
        <f>+D37</f>
        <v>22044960</v>
      </c>
      <c r="G37" s="62">
        <v>0</v>
      </c>
      <c r="H37" s="61">
        <f t="shared" si="3"/>
        <v>22044960</v>
      </c>
      <c r="I37" s="62"/>
    </row>
    <row r="38" spans="1:9" ht="12.75">
      <c r="A38" s="28" t="s">
        <v>241</v>
      </c>
      <c r="B38" s="28">
        <v>3</v>
      </c>
      <c r="C38" s="61">
        <f>1251612*1.05</f>
        <v>1314192.6</v>
      </c>
      <c r="D38" s="61">
        <f t="shared" si="0"/>
        <v>3942577.8000000003</v>
      </c>
      <c r="E38" s="61">
        <f t="shared" si="1"/>
        <v>3942577.8000000003</v>
      </c>
      <c r="F38" s="61">
        <v>0</v>
      </c>
      <c r="G38" s="62">
        <v>0</v>
      </c>
      <c r="H38" s="61">
        <f t="shared" si="3"/>
        <v>3942577.8000000003</v>
      </c>
      <c r="I38" s="62"/>
    </row>
    <row r="39" spans="1:9" ht="12.75">
      <c r="A39" s="28" t="s">
        <v>138</v>
      </c>
      <c r="B39" s="28">
        <v>2</v>
      </c>
      <c r="C39" s="61">
        <f>27498960*1.05</f>
        <v>28873908</v>
      </c>
      <c r="D39" s="61">
        <f t="shared" si="0"/>
        <v>57747816</v>
      </c>
      <c r="E39" s="61">
        <f t="shared" si="1"/>
        <v>57747816</v>
      </c>
      <c r="F39" s="61">
        <f>+D39</f>
        <v>57747816</v>
      </c>
      <c r="G39" s="62">
        <v>0</v>
      </c>
      <c r="H39" s="61">
        <f t="shared" si="3"/>
        <v>57747816</v>
      </c>
      <c r="I39" s="62"/>
    </row>
    <row r="40" spans="1:9" ht="12.75">
      <c r="A40" s="35" t="s">
        <v>66</v>
      </c>
      <c r="B40" s="28"/>
      <c r="C40" s="62"/>
      <c r="D40" s="63">
        <f>SUM(D11:D39)</f>
        <v>266310326.64999998</v>
      </c>
      <c r="E40" s="63">
        <f>SUM(E11:E39)</f>
        <v>266310326.64999998</v>
      </c>
      <c r="F40" s="63">
        <f>SUM(F11:F39)</f>
        <v>140167598</v>
      </c>
      <c r="G40" s="63">
        <f>SUM(G11:G39)</f>
        <v>0</v>
      </c>
      <c r="H40" s="63">
        <f>SUM(H11:H39)</f>
        <v>266310326.64999998</v>
      </c>
      <c r="I40" s="63">
        <f>SUM(I11:I39)</f>
        <v>0</v>
      </c>
    </row>
    <row r="41" spans="1:9" ht="12.75">
      <c r="A41" s="50"/>
      <c r="B41" s="34"/>
      <c r="C41" s="34"/>
      <c r="D41" s="44"/>
      <c r="E41" s="44"/>
      <c r="F41" s="45"/>
      <c r="G41" s="34"/>
      <c r="H41" s="45"/>
      <c r="I41" s="45"/>
    </row>
    <row r="42" spans="1:9" ht="12.75">
      <c r="A42" s="47" t="s">
        <v>133</v>
      </c>
      <c r="B42" s="48"/>
      <c r="C42" s="48"/>
      <c r="D42" s="49"/>
      <c r="E42" s="34"/>
      <c r="F42" s="27"/>
      <c r="G42" s="27"/>
      <c r="H42" s="27"/>
      <c r="I42" s="27"/>
    </row>
    <row r="43" spans="1:9" ht="12.75">
      <c r="A43" s="28" t="s">
        <v>134</v>
      </c>
      <c r="B43" s="28">
        <v>1</v>
      </c>
      <c r="C43" s="61">
        <f>59974888*1.05</f>
        <v>62973632.400000006</v>
      </c>
      <c r="D43" s="61">
        <f>+B43*C43</f>
        <v>62973632.400000006</v>
      </c>
      <c r="E43" s="61">
        <f>+D43</f>
        <v>62973632.400000006</v>
      </c>
      <c r="F43" s="61">
        <f>+D43</f>
        <v>62973632.400000006</v>
      </c>
      <c r="G43" s="62">
        <v>0</v>
      </c>
      <c r="H43" s="62"/>
      <c r="I43" s="62"/>
    </row>
    <row r="44" spans="1:9" ht="12.75">
      <c r="A44" s="28" t="s">
        <v>285</v>
      </c>
      <c r="B44" s="28">
        <v>4</v>
      </c>
      <c r="C44" s="61">
        <f>1571512*1.05</f>
        <v>1650087.6</v>
      </c>
      <c r="D44" s="61">
        <f>+B44*C44</f>
        <v>6600350.4</v>
      </c>
      <c r="E44" s="61">
        <f>+D44</f>
        <v>6600350.4</v>
      </c>
      <c r="F44" s="61">
        <v>0</v>
      </c>
      <c r="G44" s="62">
        <v>0</v>
      </c>
      <c r="H44" s="62"/>
      <c r="I44" s="62"/>
    </row>
    <row r="45" spans="1:9" ht="12.75">
      <c r="A45" s="28" t="s">
        <v>286</v>
      </c>
      <c r="B45" s="28">
        <v>9</v>
      </c>
      <c r="C45" s="61">
        <f>1108122*1.05</f>
        <v>1163528.1</v>
      </c>
      <c r="D45" s="61">
        <f>+B45*C45</f>
        <v>10471752.9</v>
      </c>
      <c r="E45" s="61">
        <f>+D45</f>
        <v>10471752.9</v>
      </c>
      <c r="F45" s="61">
        <v>0</v>
      </c>
      <c r="G45" s="62">
        <v>0</v>
      </c>
      <c r="H45" s="62"/>
      <c r="I45" s="62"/>
    </row>
    <row r="46" spans="1:9" ht="12.75">
      <c r="A46" s="28" t="s">
        <v>135</v>
      </c>
      <c r="B46" s="28">
        <v>1</v>
      </c>
      <c r="C46" s="61">
        <f>1494590*1.05</f>
        <v>1569319.5</v>
      </c>
      <c r="D46" s="61">
        <f>+B46*C46</f>
        <v>1569319.5</v>
      </c>
      <c r="E46" s="61">
        <f>+D46</f>
        <v>1569319.5</v>
      </c>
      <c r="F46" s="61">
        <v>0</v>
      </c>
      <c r="G46" s="62">
        <v>0</v>
      </c>
      <c r="H46" s="62"/>
      <c r="I46" s="62"/>
    </row>
    <row r="47" spans="1:9" ht="12.75">
      <c r="A47" s="28" t="s">
        <v>136</v>
      </c>
      <c r="B47" s="28">
        <v>4</v>
      </c>
      <c r="C47" s="61">
        <f>3926325*1.05</f>
        <v>4122641.25</v>
      </c>
      <c r="D47" s="61">
        <f>+B47*C47</f>
        <v>16490565</v>
      </c>
      <c r="E47" s="61">
        <f>+D47</f>
        <v>16490565</v>
      </c>
      <c r="F47" s="61">
        <v>0</v>
      </c>
      <c r="G47" s="62">
        <v>0</v>
      </c>
      <c r="H47" s="62"/>
      <c r="I47" s="62"/>
    </row>
    <row r="48" spans="1:9" ht="12.75">
      <c r="A48" s="29" t="s">
        <v>66</v>
      </c>
      <c r="B48" s="31"/>
      <c r="C48" s="64"/>
      <c r="D48" s="63">
        <f>SUM(D43:D47)</f>
        <v>98105620.20000002</v>
      </c>
      <c r="E48" s="63">
        <f>SUM(E43:E47)</f>
        <v>98105620.20000002</v>
      </c>
      <c r="F48" s="63">
        <f>SUM(F43:F47)</f>
        <v>62973632.400000006</v>
      </c>
      <c r="G48" s="63">
        <f>SUM(G43:G47)</f>
        <v>0</v>
      </c>
      <c r="H48" s="63">
        <f>SUM(H43:H47)</f>
        <v>0</v>
      </c>
      <c r="I48" s="63">
        <f>SUM(I43:I47)</f>
        <v>0</v>
      </c>
    </row>
    <row r="49" spans="1:9" ht="12.75">
      <c r="A49" s="29"/>
      <c r="B49" s="31"/>
      <c r="C49" s="32"/>
      <c r="D49" s="33"/>
      <c r="E49" s="33"/>
      <c r="F49" s="33"/>
      <c r="G49" s="28"/>
      <c r="H49" s="28"/>
      <c r="I49" s="28"/>
    </row>
    <row r="50" spans="1:9" ht="12.75">
      <c r="A50" s="35" t="s">
        <v>248</v>
      </c>
      <c r="B50" s="28">
        <v>1</v>
      </c>
      <c r="C50" s="61">
        <v>10000000</v>
      </c>
      <c r="D50" s="61">
        <f>+B50*C50</f>
        <v>10000000</v>
      </c>
      <c r="E50" s="61">
        <f>+D50</f>
        <v>10000000</v>
      </c>
      <c r="F50" s="61">
        <f>+D50</f>
        <v>10000000</v>
      </c>
      <c r="G50" s="62">
        <v>0</v>
      </c>
      <c r="H50" s="62"/>
      <c r="I50" s="62"/>
    </row>
    <row r="51" spans="1:9" ht="12.75">
      <c r="A51" s="29" t="s">
        <v>66</v>
      </c>
      <c r="B51" s="31"/>
      <c r="C51" s="64"/>
      <c r="D51" s="63">
        <f>+D50</f>
        <v>10000000</v>
      </c>
      <c r="E51" s="63">
        <f>+E50</f>
        <v>10000000</v>
      </c>
      <c r="F51" s="63">
        <f>+F50</f>
        <v>10000000</v>
      </c>
      <c r="G51" s="63">
        <f>+G50</f>
        <v>0</v>
      </c>
      <c r="H51" s="63">
        <f>+H50</f>
        <v>0</v>
      </c>
      <c r="I51" s="63">
        <f>+I50</f>
        <v>0</v>
      </c>
    </row>
    <row r="52" spans="1:9" ht="12.75">
      <c r="A52" s="53"/>
      <c r="B52" s="46"/>
      <c r="C52" s="46"/>
      <c r="D52" s="54"/>
      <c r="E52" s="54"/>
      <c r="F52" s="54"/>
      <c r="G52" s="46"/>
      <c r="H52" s="46"/>
      <c r="I52" s="46"/>
    </row>
    <row r="53" spans="1:9" ht="12.75">
      <c r="A53" s="51" t="s">
        <v>245</v>
      </c>
      <c r="B53" s="48"/>
      <c r="C53" s="48"/>
      <c r="D53" s="55"/>
      <c r="E53" s="55"/>
      <c r="F53" s="48"/>
      <c r="G53" s="48"/>
      <c r="H53" s="48"/>
      <c r="I53" s="48"/>
    </row>
    <row r="54" spans="1:9" ht="12.75">
      <c r="A54" s="28" t="s">
        <v>78</v>
      </c>
      <c r="B54" s="28">
        <v>1</v>
      </c>
      <c r="C54" s="61">
        <f>107957318*1.05</f>
        <v>113355183.9</v>
      </c>
      <c r="D54" s="61">
        <f>+B54*C54</f>
        <v>113355183.9</v>
      </c>
      <c r="E54" s="61">
        <f>+D54</f>
        <v>113355183.9</v>
      </c>
      <c r="F54" s="61">
        <f>+D54</f>
        <v>113355183.9</v>
      </c>
      <c r="G54" s="62"/>
      <c r="H54" s="62"/>
      <c r="I54" s="62"/>
    </row>
    <row r="55" spans="1:9" ht="12.75">
      <c r="A55" s="28" t="s">
        <v>137</v>
      </c>
      <c r="B55" s="28">
        <v>1</v>
      </c>
      <c r="C55" s="61">
        <f>864000*1.05</f>
        <v>907200</v>
      </c>
      <c r="D55" s="61">
        <f>+B55*C55</f>
        <v>907200</v>
      </c>
      <c r="E55" s="61">
        <f>+D55</f>
        <v>907200</v>
      </c>
      <c r="F55" s="61">
        <f>+D55</f>
        <v>907200</v>
      </c>
      <c r="G55" s="62"/>
      <c r="H55" s="62"/>
      <c r="I55" s="62"/>
    </row>
    <row r="56" spans="1:9" ht="12.75">
      <c r="A56" s="28" t="s">
        <v>115</v>
      </c>
      <c r="B56" s="28">
        <v>1</v>
      </c>
      <c r="C56" s="61">
        <f>3780000*1.05</f>
        <v>3969000</v>
      </c>
      <c r="D56" s="61">
        <f>+B56*C56</f>
        <v>3969000</v>
      </c>
      <c r="E56" s="61">
        <f>+D56</f>
        <v>3969000</v>
      </c>
      <c r="F56" s="61">
        <f>+D56</f>
        <v>3969000</v>
      </c>
      <c r="G56" s="62"/>
      <c r="H56" s="62"/>
      <c r="I56" s="62"/>
    </row>
    <row r="57" spans="1:9" ht="12.75">
      <c r="A57" s="28" t="s">
        <v>255</v>
      </c>
      <c r="B57" s="28">
        <v>1</v>
      </c>
      <c r="C57" s="61">
        <f>30281040*1.05</f>
        <v>31795092</v>
      </c>
      <c r="D57" s="61">
        <f>+B57*C57</f>
        <v>31795092</v>
      </c>
      <c r="E57" s="61">
        <f>+D57</f>
        <v>31795092</v>
      </c>
      <c r="F57" s="61">
        <f>+D57</f>
        <v>31795092</v>
      </c>
      <c r="G57" s="62"/>
      <c r="H57" s="62"/>
      <c r="I57" s="62"/>
    </row>
    <row r="58" spans="1:9" ht="12.75">
      <c r="A58" s="29" t="s">
        <v>66</v>
      </c>
      <c r="B58" s="31"/>
      <c r="C58" s="64"/>
      <c r="D58" s="63">
        <f>SUM(D54:D57)</f>
        <v>150026475.9</v>
      </c>
      <c r="E58" s="63">
        <f>SUM(E54:E57)</f>
        <v>150026475.9</v>
      </c>
      <c r="F58" s="63">
        <f>SUM(F54:F57)</f>
        <v>150026475.9</v>
      </c>
      <c r="G58" s="63">
        <f>SUM(G54:G57)</f>
        <v>0</v>
      </c>
      <c r="H58" s="63">
        <f>SUM(H54:H57)</f>
        <v>0</v>
      </c>
      <c r="I58" s="63">
        <f>SUM(I54:I57)</f>
        <v>0</v>
      </c>
    </row>
    <row r="59" spans="1:9" ht="12.75">
      <c r="A59" s="46"/>
      <c r="B59" s="46"/>
      <c r="C59" s="46"/>
      <c r="D59" s="52"/>
      <c r="E59" s="52"/>
      <c r="F59" s="46"/>
      <c r="G59" s="46"/>
      <c r="H59" s="46"/>
      <c r="I59" s="46"/>
    </row>
    <row r="60" spans="1:9" ht="14.25">
      <c r="A60" s="57" t="s">
        <v>249</v>
      </c>
      <c r="B60" s="57"/>
      <c r="C60" s="57"/>
      <c r="D60" s="57"/>
      <c r="E60" s="56"/>
      <c r="F60" s="48"/>
      <c r="G60" s="48"/>
      <c r="H60" s="48"/>
      <c r="I60" s="48"/>
    </row>
    <row r="61" spans="1:9" ht="12.75">
      <c r="A61" s="29" t="s">
        <v>139</v>
      </c>
      <c r="B61" s="31" t="s">
        <v>6</v>
      </c>
      <c r="C61" s="31"/>
      <c r="D61" s="32" t="s">
        <v>6</v>
      </c>
      <c r="E61" s="28"/>
      <c r="F61" s="28"/>
      <c r="G61" s="28"/>
      <c r="H61" s="28"/>
      <c r="I61" s="28"/>
    </row>
    <row r="62" spans="1:9" ht="12.75">
      <c r="A62" s="28" t="s">
        <v>140</v>
      </c>
      <c r="B62" s="28">
        <v>4</v>
      </c>
      <c r="C62" s="61">
        <v>1800000</v>
      </c>
      <c r="D62" s="61">
        <f aca="true" t="shared" si="5" ref="D62:D92">+B62*C62</f>
        <v>7200000</v>
      </c>
      <c r="E62" s="61"/>
      <c r="F62" s="65">
        <f aca="true" t="shared" si="6" ref="F62:F86">+D62</f>
        <v>7200000</v>
      </c>
      <c r="G62" s="61">
        <f aca="true" t="shared" si="7" ref="G62:G86">+D62</f>
        <v>7200000</v>
      </c>
      <c r="H62" s="62"/>
      <c r="I62" s="62"/>
    </row>
    <row r="63" spans="1:9" ht="12.75">
      <c r="A63" s="28" t="s">
        <v>141</v>
      </c>
      <c r="B63" s="28">
        <v>10</v>
      </c>
      <c r="C63" s="61">
        <v>1618000</v>
      </c>
      <c r="D63" s="61">
        <f t="shared" si="5"/>
        <v>16180000</v>
      </c>
      <c r="E63" s="61"/>
      <c r="F63" s="65">
        <f t="shared" si="6"/>
        <v>16180000</v>
      </c>
      <c r="G63" s="61">
        <f t="shared" si="7"/>
        <v>16180000</v>
      </c>
      <c r="H63" s="62"/>
      <c r="I63" s="62"/>
    </row>
    <row r="64" spans="1:9" ht="12.75">
      <c r="A64" s="28" t="s">
        <v>142</v>
      </c>
      <c r="B64" s="28">
        <v>1</v>
      </c>
      <c r="C64" s="61">
        <v>139968</v>
      </c>
      <c r="D64" s="61">
        <f t="shared" si="5"/>
        <v>139968</v>
      </c>
      <c r="E64" s="61"/>
      <c r="F64" s="65">
        <f t="shared" si="6"/>
        <v>139968</v>
      </c>
      <c r="G64" s="61">
        <f t="shared" si="7"/>
        <v>139968</v>
      </c>
      <c r="H64" s="62"/>
      <c r="I64" s="62"/>
    </row>
    <row r="65" spans="1:9" ht="12.75">
      <c r="A65" s="28" t="s">
        <v>143</v>
      </c>
      <c r="B65" s="28">
        <v>2</v>
      </c>
      <c r="C65" s="61">
        <v>80000</v>
      </c>
      <c r="D65" s="61">
        <f t="shared" si="5"/>
        <v>160000</v>
      </c>
      <c r="E65" s="61"/>
      <c r="F65" s="65">
        <f t="shared" si="6"/>
        <v>160000</v>
      </c>
      <c r="G65" s="61">
        <f t="shared" si="7"/>
        <v>160000</v>
      </c>
      <c r="H65" s="62"/>
      <c r="I65" s="62"/>
    </row>
    <row r="66" spans="1:9" ht="12.75">
      <c r="A66" s="28" t="s">
        <v>144</v>
      </c>
      <c r="B66" s="28">
        <v>1</v>
      </c>
      <c r="C66" s="61">
        <v>10832000</v>
      </c>
      <c r="D66" s="61">
        <f t="shared" si="5"/>
        <v>10832000</v>
      </c>
      <c r="E66" s="61"/>
      <c r="F66" s="65">
        <f t="shared" si="6"/>
        <v>10832000</v>
      </c>
      <c r="G66" s="61">
        <f t="shared" si="7"/>
        <v>10832000</v>
      </c>
      <c r="H66" s="62"/>
      <c r="I66" s="62"/>
    </row>
    <row r="67" spans="1:9" ht="12.75">
      <c r="A67" s="28" t="s">
        <v>145</v>
      </c>
      <c r="B67" s="28">
        <v>3</v>
      </c>
      <c r="C67" s="61">
        <v>5476000</v>
      </c>
      <c r="D67" s="61">
        <f t="shared" si="5"/>
        <v>16428000</v>
      </c>
      <c r="E67" s="61"/>
      <c r="F67" s="65">
        <f t="shared" si="6"/>
        <v>16428000</v>
      </c>
      <c r="G67" s="61">
        <f t="shared" si="7"/>
        <v>16428000</v>
      </c>
      <c r="H67" s="62"/>
      <c r="I67" s="62"/>
    </row>
    <row r="68" spans="1:9" ht="12.75">
      <c r="A68" s="28" t="s">
        <v>146</v>
      </c>
      <c r="B68" s="28">
        <v>1</v>
      </c>
      <c r="C68" s="61">
        <v>1540000</v>
      </c>
      <c r="D68" s="61">
        <f t="shared" si="5"/>
        <v>1540000</v>
      </c>
      <c r="E68" s="61"/>
      <c r="F68" s="65">
        <f t="shared" si="6"/>
        <v>1540000</v>
      </c>
      <c r="G68" s="61">
        <f t="shared" si="7"/>
        <v>1540000</v>
      </c>
      <c r="H68" s="62"/>
      <c r="I68" s="62"/>
    </row>
    <row r="69" spans="1:9" ht="12.75">
      <c r="A69" s="28" t="s">
        <v>147</v>
      </c>
      <c r="B69" s="28">
        <v>1</v>
      </c>
      <c r="C69" s="61">
        <v>535000</v>
      </c>
      <c r="D69" s="61">
        <f t="shared" si="5"/>
        <v>535000</v>
      </c>
      <c r="E69" s="61"/>
      <c r="F69" s="65">
        <f t="shared" si="6"/>
        <v>535000</v>
      </c>
      <c r="G69" s="61">
        <f t="shared" si="7"/>
        <v>535000</v>
      </c>
      <c r="H69" s="62"/>
      <c r="I69" s="62"/>
    </row>
    <row r="70" spans="1:9" ht="12.75">
      <c r="A70" s="28" t="s">
        <v>148</v>
      </c>
      <c r="B70" s="28">
        <v>2</v>
      </c>
      <c r="C70" s="61">
        <v>750000</v>
      </c>
      <c r="D70" s="61">
        <f t="shared" si="5"/>
        <v>1500000</v>
      </c>
      <c r="E70" s="61"/>
      <c r="F70" s="65">
        <f t="shared" si="6"/>
        <v>1500000</v>
      </c>
      <c r="G70" s="61">
        <f t="shared" si="7"/>
        <v>1500000</v>
      </c>
      <c r="H70" s="62"/>
      <c r="I70" s="62"/>
    </row>
    <row r="71" spans="1:9" ht="12.75">
      <c r="A71" s="28" t="s">
        <v>149</v>
      </c>
      <c r="B71" s="28">
        <v>1</v>
      </c>
      <c r="C71" s="61">
        <v>1540000</v>
      </c>
      <c r="D71" s="61">
        <f t="shared" si="5"/>
        <v>1540000</v>
      </c>
      <c r="E71" s="61"/>
      <c r="F71" s="65">
        <f t="shared" si="6"/>
        <v>1540000</v>
      </c>
      <c r="G71" s="61">
        <f t="shared" si="7"/>
        <v>1540000</v>
      </c>
      <c r="H71" s="62"/>
      <c r="I71" s="62"/>
    </row>
    <row r="72" spans="1:9" ht="12.75">
      <c r="A72" s="28" t="s">
        <v>150</v>
      </c>
      <c r="B72" s="28">
        <v>4</v>
      </c>
      <c r="C72" s="61">
        <v>1148000</v>
      </c>
      <c r="D72" s="61">
        <f t="shared" si="5"/>
        <v>4592000</v>
      </c>
      <c r="E72" s="61"/>
      <c r="F72" s="65">
        <f t="shared" si="6"/>
        <v>4592000</v>
      </c>
      <c r="G72" s="61">
        <f t="shared" si="7"/>
        <v>4592000</v>
      </c>
      <c r="H72" s="62"/>
      <c r="I72" s="62"/>
    </row>
    <row r="73" spans="1:9" ht="12.75">
      <c r="A73" s="28" t="s">
        <v>151</v>
      </c>
      <c r="B73" s="28">
        <v>1</v>
      </c>
      <c r="C73" s="61">
        <v>516200</v>
      </c>
      <c r="D73" s="61">
        <f t="shared" si="5"/>
        <v>516200</v>
      </c>
      <c r="E73" s="61"/>
      <c r="F73" s="65">
        <f t="shared" si="6"/>
        <v>516200</v>
      </c>
      <c r="G73" s="61">
        <f t="shared" si="7"/>
        <v>516200</v>
      </c>
      <c r="H73" s="62"/>
      <c r="I73" s="62"/>
    </row>
    <row r="74" spans="1:9" ht="12.75">
      <c r="A74" s="28" t="s">
        <v>152</v>
      </c>
      <c r="B74" s="28">
        <v>1</v>
      </c>
      <c r="C74" s="61">
        <v>3149400</v>
      </c>
      <c r="D74" s="61">
        <f t="shared" si="5"/>
        <v>3149400</v>
      </c>
      <c r="E74" s="61"/>
      <c r="F74" s="65">
        <f t="shared" si="6"/>
        <v>3149400</v>
      </c>
      <c r="G74" s="61">
        <f t="shared" si="7"/>
        <v>3149400</v>
      </c>
      <c r="H74" s="62"/>
      <c r="I74" s="62"/>
    </row>
    <row r="75" spans="1:9" ht="12.75">
      <c r="A75" s="28" t="s">
        <v>301</v>
      </c>
      <c r="B75" s="28">
        <v>1</v>
      </c>
      <c r="C75" s="61">
        <v>10000000</v>
      </c>
      <c r="D75" s="61">
        <f t="shared" si="5"/>
        <v>10000000</v>
      </c>
      <c r="E75" s="61"/>
      <c r="F75" s="65">
        <f t="shared" si="6"/>
        <v>10000000</v>
      </c>
      <c r="G75" s="61">
        <f t="shared" si="7"/>
        <v>10000000</v>
      </c>
      <c r="H75" s="62"/>
      <c r="I75" s="62"/>
    </row>
    <row r="76" spans="1:9" ht="12.75">
      <c r="A76" s="28" t="s">
        <v>153</v>
      </c>
      <c r="B76" s="28">
        <v>5</v>
      </c>
      <c r="C76" s="61">
        <v>2853600</v>
      </c>
      <c r="D76" s="61">
        <f t="shared" si="5"/>
        <v>14268000</v>
      </c>
      <c r="E76" s="61"/>
      <c r="F76" s="65">
        <f t="shared" si="6"/>
        <v>14268000</v>
      </c>
      <c r="G76" s="61">
        <f t="shared" si="7"/>
        <v>14268000</v>
      </c>
      <c r="H76" s="62"/>
      <c r="I76" s="62"/>
    </row>
    <row r="77" spans="1:9" ht="12.75">
      <c r="A77" s="28" t="s">
        <v>154</v>
      </c>
      <c r="B77" s="28">
        <v>1</v>
      </c>
      <c r="C77" s="61">
        <v>5684000</v>
      </c>
      <c r="D77" s="61">
        <f t="shared" si="5"/>
        <v>5684000</v>
      </c>
      <c r="E77" s="61"/>
      <c r="F77" s="65">
        <f t="shared" si="6"/>
        <v>5684000</v>
      </c>
      <c r="G77" s="61">
        <f t="shared" si="7"/>
        <v>5684000</v>
      </c>
      <c r="H77" s="62"/>
      <c r="I77" s="62"/>
    </row>
    <row r="78" spans="1:9" ht="12.75">
      <c r="A78" s="28" t="s">
        <v>155</v>
      </c>
      <c r="B78" s="28">
        <v>1</v>
      </c>
      <c r="C78" s="61">
        <v>968000</v>
      </c>
      <c r="D78" s="61">
        <f t="shared" si="5"/>
        <v>968000</v>
      </c>
      <c r="E78" s="61"/>
      <c r="F78" s="65">
        <f t="shared" si="6"/>
        <v>968000</v>
      </c>
      <c r="G78" s="61">
        <f t="shared" si="7"/>
        <v>968000</v>
      </c>
      <c r="H78" s="62"/>
      <c r="I78" s="62"/>
    </row>
    <row r="79" spans="1:9" ht="12.75">
      <c r="A79" s="28" t="s">
        <v>156</v>
      </c>
      <c r="B79" s="28">
        <v>1</v>
      </c>
      <c r="C79" s="61">
        <v>2830440</v>
      </c>
      <c r="D79" s="61">
        <f t="shared" si="5"/>
        <v>2830440</v>
      </c>
      <c r="E79" s="61"/>
      <c r="F79" s="65">
        <f t="shared" si="6"/>
        <v>2830440</v>
      </c>
      <c r="G79" s="61">
        <f t="shared" si="7"/>
        <v>2830440</v>
      </c>
      <c r="H79" s="62"/>
      <c r="I79" s="62"/>
    </row>
    <row r="80" spans="1:9" ht="12.75">
      <c r="A80" s="28" t="s">
        <v>157</v>
      </c>
      <c r="B80" s="28">
        <v>9</v>
      </c>
      <c r="C80" s="61">
        <v>1607870</v>
      </c>
      <c r="D80" s="61">
        <f aca="true" t="shared" si="8" ref="D80:D86">+B80*C80</f>
        <v>14470830</v>
      </c>
      <c r="E80" s="61"/>
      <c r="F80" s="65">
        <f t="shared" si="6"/>
        <v>14470830</v>
      </c>
      <c r="G80" s="61">
        <f t="shared" si="7"/>
        <v>14470830</v>
      </c>
      <c r="H80" s="62"/>
      <c r="I80" s="62"/>
    </row>
    <row r="81" spans="1:9" ht="12.75">
      <c r="A81" s="28" t="s">
        <v>257</v>
      </c>
      <c r="B81" s="28">
        <v>2</v>
      </c>
      <c r="C81" s="61">
        <v>2650600</v>
      </c>
      <c r="D81" s="61">
        <f t="shared" si="8"/>
        <v>5301200</v>
      </c>
      <c r="E81" s="61"/>
      <c r="F81" s="65">
        <f t="shared" si="6"/>
        <v>5301200</v>
      </c>
      <c r="G81" s="61">
        <f t="shared" si="7"/>
        <v>5301200</v>
      </c>
      <c r="H81" s="62"/>
      <c r="I81" s="62"/>
    </row>
    <row r="82" spans="1:9" ht="12.75">
      <c r="A82" s="28" t="s">
        <v>258</v>
      </c>
      <c r="B82" s="28">
        <v>1</v>
      </c>
      <c r="C82" s="61">
        <v>3282800</v>
      </c>
      <c r="D82" s="61">
        <f t="shared" si="8"/>
        <v>3282800</v>
      </c>
      <c r="E82" s="61"/>
      <c r="F82" s="65">
        <f t="shared" si="6"/>
        <v>3282800</v>
      </c>
      <c r="G82" s="61">
        <f t="shared" si="7"/>
        <v>3282800</v>
      </c>
      <c r="H82" s="62"/>
      <c r="I82" s="62"/>
    </row>
    <row r="83" spans="1:9" ht="12.75">
      <c r="A83" s="28" t="s">
        <v>279</v>
      </c>
      <c r="B83" s="28">
        <v>4</v>
      </c>
      <c r="C83" s="61">
        <v>1578000</v>
      </c>
      <c r="D83" s="61">
        <f t="shared" si="8"/>
        <v>6312000</v>
      </c>
      <c r="E83" s="61"/>
      <c r="F83" s="65">
        <f t="shared" si="6"/>
        <v>6312000</v>
      </c>
      <c r="G83" s="61">
        <f t="shared" si="7"/>
        <v>6312000</v>
      </c>
      <c r="H83" s="62"/>
      <c r="I83" s="62"/>
    </row>
    <row r="84" spans="1:9" ht="12.75">
      <c r="A84" s="28" t="s">
        <v>259</v>
      </c>
      <c r="B84" s="28">
        <v>1</v>
      </c>
      <c r="C84" s="61">
        <v>533600</v>
      </c>
      <c r="D84" s="61">
        <f t="shared" si="8"/>
        <v>533600</v>
      </c>
      <c r="E84" s="61"/>
      <c r="F84" s="65">
        <f t="shared" si="6"/>
        <v>533600</v>
      </c>
      <c r="G84" s="61">
        <f t="shared" si="7"/>
        <v>533600</v>
      </c>
      <c r="H84" s="62"/>
      <c r="I84" s="62"/>
    </row>
    <row r="85" spans="1:9" ht="12.75">
      <c r="A85" s="28" t="s">
        <v>203</v>
      </c>
      <c r="B85" s="28">
        <v>1</v>
      </c>
      <c r="C85" s="61">
        <f>1188000*1.05</f>
        <v>1247400</v>
      </c>
      <c r="D85" s="61">
        <f>+B85*C85</f>
        <v>1247400</v>
      </c>
      <c r="E85" s="61"/>
      <c r="F85" s="61">
        <f>+D85</f>
        <v>1247400</v>
      </c>
      <c r="G85" s="61">
        <f>+D85</f>
        <v>1247400</v>
      </c>
      <c r="H85" s="62"/>
      <c r="I85" s="62"/>
    </row>
    <row r="86" spans="1:9" ht="12.75">
      <c r="A86" s="28" t="s">
        <v>260</v>
      </c>
      <c r="B86" s="28">
        <v>1</v>
      </c>
      <c r="C86" s="61">
        <v>1229600</v>
      </c>
      <c r="D86" s="61">
        <f t="shared" si="8"/>
        <v>1229600</v>
      </c>
      <c r="E86" s="61"/>
      <c r="F86" s="65">
        <f t="shared" si="6"/>
        <v>1229600</v>
      </c>
      <c r="G86" s="61">
        <f t="shared" si="7"/>
        <v>1229600</v>
      </c>
      <c r="H86" s="62"/>
      <c r="I86" s="62"/>
    </row>
    <row r="87" spans="1:9" ht="12.75">
      <c r="A87" s="41" t="s">
        <v>262</v>
      </c>
      <c r="B87" s="42"/>
      <c r="C87" s="42"/>
      <c r="D87" s="42"/>
      <c r="E87" s="42"/>
      <c r="F87" s="42"/>
      <c r="G87" s="42"/>
      <c r="H87" s="42"/>
      <c r="I87" s="43"/>
    </row>
    <row r="88" spans="1:9" ht="12.75">
      <c r="A88" s="28" t="s">
        <v>263</v>
      </c>
      <c r="B88" s="28">
        <v>4</v>
      </c>
      <c r="C88" s="61">
        <v>1674521</v>
      </c>
      <c r="D88" s="61">
        <f>+B88*C88</f>
        <v>6698084</v>
      </c>
      <c r="E88" s="61"/>
      <c r="F88" s="61"/>
      <c r="G88" s="61">
        <v>0</v>
      </c>
      <c r="H88" s="62"/>
      <c r="I88" s="62">
        <f>+D88</f>
        <v>6698084</v>
      </c>
    </row>
    <row r="89" spans="1:9" ht="12.75">
      <c r="A89" s="28" t="s">
        <v>264</v>
      </c>
      <c r="B89" s="28">
        <v>1</v>
      </c>
      <c r="C89" s="61">
        <v>14136521</v>
      </c>
      <c r="D89" s="61">
        <f>+B89*C89</f>
        <v>14136521</v>
      </c>
      <c r="E89" s="61"/>
      <c r="F89" s="61">
        <f>+D89</f>
        <v>14136521</v>
      </c>
      <c r="G89" s="61">
        <f>+D89</f>
        <v>14136521</v>
      </c>
      <c r="H89" s="62"/>
      <c r="I89" s="62"/>
    </row>
    <row r="90" spans="1:9" ht="12.75">
      <c r="A90" s="28" t="s">
        <v>265</v>
      </c>
      <c r="B90" s="28">
        <v>1</v>
      </c>
      <c r="C90" s="61">
        <v>1198402</v>
      </c>
      <c r="D90" s="61">
        <f>+B90*C90</f>
        <v>1198402</v>
      </c>
      <c r="E90" s="61"/>
      <c r="F90" s="61">
        <f>+D90</f>
        <v>1198402</v>
      </c>
      <c r="G90" s="61">
        <f>+D90</f>
        <v>1198402</v>
      </c>
      <c r="H90" s="62"/>
      <c r="I90" s="62"/>
    </row>
    <row r="91" spans="1:9" ht="12.75">
      <c r="A91" s="28" t="s">
        <v>266</v>
      </c>
      <c r="B91" s="28">
        <v>1</v>
      </c>
      <c r="C91" s="61">
        <v>15784949</v>
      </c>
      <c r="D91" s="61">
        <f>+B91*C91</f>
        <v>15784949</v>
      </c>
      <c r="E91" s="61"/>
      <c r="F91" s="61">
        <f>+D91</f>
        <v>15784949</v>
      </c>
      <c r="G91" s="61">
        <f>+D91</f>
        <v>15784949</v>
      </c>
      <c r="H91" s="62"/>
      <c r="I91" s="62"/>
    </row>
    <row r="92" spans="1:9" ht="12.75">
      <c r="A92" s="28" t="s">
        <v>157</v>
      </c>
      <c r="B92" s="28">
        <v>9</v>
      </c>
      <c r="C92" s="61">
        <v>1607870</v>
      </c>
      <c r="D92" s="61">
        <f t="shared" si="5"/>
        <v>14470830</v>
      </c>
      <c r="E92" s="61"/>
      <c r="F92" s="61">
        <f>1607870*9</f>
        <v>14470830</v>
      </c>
      <c r="G92" s="61">
        <v>14470830</v>
      </c>
      <c r="H92" s="62"/>
      <c r="I92" s="62"/>
    </row>
    <row r="93" spans="1:9" ht="12.75">
      <c r="A93" s="29" t="s">
        <v>66</v>
      </c>
      <c r="B93" s="30"/>
      <c r="C93" s="66"/>
      <c r="D93" s="63">
        <f>SUM(D62:D92)</f>
        <v>182729224</v>
      </c>
      <c r="E93" s="63"/>
      <c r="F93" s="63">
        <f>SUM(F62:F92)</f>
        <v>176031140</v>
      </c>
      <c r="G93" s="67">
        <f>SUM(G62:G92)</f>
        <v>176031140</v>
      </c>
      <c r="H93" s="67">
        <f>SUM(H62:H92)</f>
        <v>0</v>
      </c>
      <c r="I93" s="67">
        <f>SUM(I62:I92)</f>
        <v>6698084</v>
      </c>
    </row>
    <row r="94" spans="1:9" ht="12.75">
      <c r="A94" s="53"/>
      <c r="B94" s="53"/>
      <c r="C94" s="53"/>
      <c r="D94" s="54"/>
      <c r="E94" s="54"/>
      <c r="F94" s="54"/>
      <c r="G94" s="58"/>
      <c r="H94" s="46"/>
      <c r="I94" s="46"/>
    </row>
    <row r="95" spans="1:9" ht="12.75">
      <c r="A95" s="51" t="s">
        <v>158</v>
      </c>
      <c r="B95" s="48"/>
      <c r="C95" s="48"/>
      <c r="D95" s="55"/>
      <c r="E95" s="55"/>
      <c r="F95" s="55"/>
      <c r="G95" s="48"/>
      <c r="H95" s="48"/>
      <c r="I95" s="48"/>
    </row>
    <row r="96" spans="1:9" ht="12.75">
      <c r="A96" s="28" t="s">
        <v>159</v>
      </c>
      <c r="B96" s="28">
        <v>1</v>
      </c>
      <c r="C96" s="61">
        <f>1749600*1.08</f>
        <v>1889568.0000000002</v>
      </c>
      <c r="D96" s="61">
        <f>+B96*C96</f>
        <v>1889568.0000000002</v>
      </c>
      <c r="E96" s="61"/>
      <c r="F96" s="61">
        <f>+D96</f>
        <v>1889568.0000000002</v>
      </c>
      <c r="G96" s="61">
        <f>+D96</f>
        <v>1889568.0000000002</v>
      </c>
      <c r="H96" s="62"/>
      <c r="I96" s="62"/>
    </row>
    <row r="97" spans="1:9" ht="12.75">
      <c r="A97" s="28" t="s">
        <v>160</v>
      </c>
      <c r="B97" s="28">
        <v>1</v>
      </c>
      <c r="C97" s="61">
        <f>4000000*1.08</f>
        <v>4320000</v>
      </c>
      <c r="D97" s="61">
        <f>+B97*C97</f>
        <v>4320000</v>
      </c>
      <c r="E97" s="61"/>
      <c r="F97" s="61">
        <f>+D97</f>
        <v>4320000</v>
      </c>
      <c r="G97" s="61">
        <f>+D97</f>
        <v>4320000</v>
      </c>
      <c r="H97" s="62"/>
      <c r="I97" s="62"/>
    </row>
    <row r="98" spans="1:9" ht="12.75">
      <c r="A98" s="28" t="s">
        <v>161</v>
      </c>
      <c r="B98" s="28">
        <v>4</v>
      </c>
      <c r="C98" s="61">
        <v>1100000</v>
      </c>
      <c r="D98" s="61">
        <f>+B98*C98</f>
        <v>4400000</v>
      </c>
      <c r="E98" s="61"/>
      <c r="F98" s="61">
        <f>1100000*4</f>
        <v>4400000</v>
      </c>
      <c r="G98" s="61">
        <v>4400000</v>
      </c>
      <c r="H98" s="62"/>
      <c r="I98" s="62">
        <v>0</v>
      </c>
    </row>
    <row r="99" spans="1:9" ht="12.75">
      <c r="A99" s="28" t="s">
        <v>162</v>
      </c>
      <c r="B99" s="28">
        <v>2</v>
      </c>
      <c r="C99" s="61">
        <v>800000</v>
      </c>
      <c r="D99" s="61">
        <f>+B99*C99</f>
        <v>1600000</v>
      </c>
      <c r="E99" s="61"/>
      <c r="F99" s="61">
        <v>0</v>
      </c>
      <c r="G99" s="61">
        <v>0</v>
      </c>
      <c r="H99" s="62"/>
      <c r="I99" s="62">
        <f>+D99</f>
        <v>1600000</v>
      </c>
    </row>
    <row r="100" spans="1:9" ht="12.75">
      <c r="A100" s="28" t="s">
        <v>163</v>
      </c>
      <c r="B100" s="28">
        <v>1</v>
      </c>
      <c r="C100" s="61">
        <v>800000</v>
      </c>
      <c r="D100" s="61">
        <f>+B100*C100</f>
        <v>800000</v>
      </c>
      <c r="E100" s="61"/>
      <c r="F100" s="61">
        <v>0</v>
      </c>
      <c r="G100" s="61">
        <v>0</v>
      </c>
      <c r="H100" s="62"/>
      <c r="I100" s="62">
        <f>+D100</f>
        <v>800000</v>
      </c>
    </row>
    <row r="101" spans="1:9" ht="12.75">
      <c r="A101" s="29" t="s">
        <v>66</v>
      </c>
      <c r="B101" s="30"/>
      <c r="C101" s="66"/>
      <c r="D101" s="63">
        <f>SUM(D96:D100)</f>
        <v>13009568</v>
      </c>
      <c r="E101" s="63"/>
      <c r="F101" s="63">
        <f>SUM(F96:F100)</f>
        <v>10609568</v>
      </c>
      <c r="G101" s="63">
        <f>SUM(G96:G100)</f>
        <v>10609568</v>
      </c>
      <c r="H101" s="62"/>
      <c r="I101" s="67">
        <f>SUM(I98:I100)</f>
        <v>2400000</v>
      </c>
    </row>
    <row r="102" spans="1:9" ht="12.75">
      <c r="A102" s="53"/>
      <c r="B102" s="53"/>
      <c r="C102" s="53"/>
      <c r="D102" s="54"/>
      <c r="E102" s="54"/>
      <c r="F102" s="54"/>
      <c r="G102" s="54"/>
      <c r="H102" s="46"/>
      <c r="I102" s="58"/>
    </row>
    <row r="103" spans="1:9" ht="12.75">
      <c r="A103" s="51" t="s">
        <v>164</v>
      </c>
      <c r="B103" s="48"/>
      <c r="C103" s="48"/>
      <c r="D103" s="55"/>
      <c r="E103" s="55"/>
      <c r="F103" s="55"/>
      <c r="G103" s="48"/>
      <c r="H103" s="48"/>
      <c r="I103" s="48"/>
    </row>
    <row r="104" spans="1:9" ht="12.75">
      <c r="A104" s="28" t="s">
        <v>165</v>
      </c>
      <c r="B104" s="28">
        <v>1</v>
      </c>
      <c r="C104" s="61">
        <f>1171532*1.05</f>
        <v>1230108.6</v>
      </c>
      <c r="D104" s="61">
        <f>+B104*C104</f>
        <v>1230108.6</v>
      </c>
      <c r="E104" s="61"/>
      <c r="F104" s="61">
        <f>+D104</f>
        <v>1230108.6</v>
      </c>
      <c r="G104" s="61">
        <f>+D104</f>
        <v>1230108.6</v>
      </c>
      <c r="H104" s="62"/>
      <c r="I104" s="62"/>
    </row>
    <row r="105" spans="1:9" ht="12.75">
      <c r="A105" s="28" t="s">
        <v>166</v>
      </c>
      <c r="B105" s="28">
        <v>1</v>
      </c>
      <c r="C105" s="61">
        <v>400000</v>
      </c>
      <c r="D105" s="61">
        <f aca="true" t="shared" si="9" ref="D105:D117">+B105*C105</f>
        <v>400000</v>
      </c>
      <c r="E105" s="61"/>
      <c r="F105" s="61">
        <f aca="true" t="shared" si="10" ref="F105:F117">+D105</f>
        <v>400000</v>
      </c>
      <c r="G105" s="61">
        <f aca="true" t="shared" si="11" ref="G105:G117">+D105</f>
        <v>400000</v>
      </c>
      <c r="H105" s="62"/>
      <c r="I105" s="62"/>
    </row>
    <row r="106" spans="1:9" ht="12.75">
      <c r="A106" s="28" t="s">
        <v>300</v>
      </c>
      <c r="B106" s="28">
        <v>1</v>
      </c>
      <c r="C106" s="61">
        <f>6324480*1.05</f>
        <v>6640704</v>
      </c>
      <c r="D106" s="61">
        <f t="shared" si="9"/>
        <v>6640704</v>
      </c>
      <c r="E106" s="61"/>
      <c r="F106" s="61">
        <f t="shared" si="10"/>
        <v>6640704</v>
      </c>
      <c r="G106" s="61">
        <f t="shared" si="11"/>
        <v>6640704</v>
      </c>
      <c r="H106" s="62"/>
      <c r="I106" s="62"/>
    </row>
    <row r="107" spans="1:9" ht="12.75">
      <c r="A107" s="28" t="s">
        <v>167</v>
      </c>
      <c r="B107" s="28">
        <v>1</v>
      </c>
      <c r="C107" s="61">
        <v>150000</v>
      </c>
      <c r="D107" s="61">
        <f t="shared" si="9"/>
        <v>150000</v>
      </c>
      <c r="E107" s="61"/>
      <c r="F107" s="61">
        <f t="shared" si="10"/>
        <v>150000</v>
      </c>
      <c r="G107" s="61">
        <f t="shared" si="11"/>
        <v>150000</v>
      </c>
      <c r="H107" s="62"/>
      <c r="I107" s="62"/>
    </row>
    <row r="108" spans="1:9" ht="12.75">
      <c r="A108" s="28" t="s">
        <v>168</v>
      </c>
      <c r="B108" s="28">
        <v>1</v>
      </c>
      <c r="C108" s="61">
        <v>350000</v>
      </c>
      <c r="D108" s="61">
        <f t="shared" si="9"/>
        <v>350000</v>
      </c>
      <c r="E108" s="61"/>
      <c r="F108" s="61">
        <f t="shared" si="10"/>
        <v>350000</v>
      </c>
      <c r="G108" s="61">
        <f t="shared" si="11"/>
        <v>350000</v>
      </c>
      <c r="H108" s="62"/>
      <c r="I108" s="62"/>
    </row>
    <row r="109" spans="1:9" ht="12.75">
      <c r="A109" s="28" t="s">
        <v>169</v>
      </c>
      <c r="B109" s="28">
        <v>1</v>
      </c>
      <c r="C109" s="61">
        <v>0</v>
      </c>
      <c r="D109" s="61">
        <f t="shared" si="9"/>
        <v>0</v>
      </c>
      <c r="E109" s="61"/>
      <c r="F109" s="61">
        <f t="shared" si="10"/>
        <v>0</v>
      </c>
      <c r="G109" s="61">
        <f t="shared" si="11"/>
        <v>0</v>
      </c>
      <c r="H109" s="62"/>
      <c r="I109" s="62"/>
    </row>
    <row r="110" spans="1:9" ht="12.75">
      <c r="A110" s="28" t="s">
        <v>170</v>
      </c>
      <c r="B110" s="28">
        <v>2</v>
      </c>
      <c r="C110" s="61">
        <v>220000</v>
      </c>
      <c r="D110" s="61">
        <f t="shared" si="9"/>
        <v>440000</v>
      </c>
      <c r="E110" s="61"/>
      <c r="F110" s="61">
        <f t="shared" si="10"/>
        <v>440000</v>
      </c>
      <c r="G110" s="61">
        <f t="shared" si="11"/>
        <v>440000</v>
      </c>
      <c r="H110" s="62"/>
      <c r="I110" s="62"/>
    </row>
    <row r="111" spans="1:9" ht="12.75">
      <c r="A111" s="28" t="s">
        <v>171</v>
      </c>
      <c r="B111" s="28">
        <v>2</v>
      </c>
      <c r="C111" s="61">
        <v>200000</v>
      </c>
      <c r="D111" s="61">
        <f t="shared" si="9"/>
        <v>400000</v>
      </c>
      <c r="E111" s="61"/>
      <c r="F111" s="61">
        <f t="shared" si="10"/>
        <v>400000</v>
      </c>
      <c r="G111" s="61">
        <f t="shared" si="11"/>
        <v>400000</v>
      </c>
      <c r="H111" s="62"/>
      <c r="I111" s="62"/>
    </row>
    <row r="112" spans="1:9" ht="12.75">
      <c r="A112" s="28" t="s">
        <v>172</v>
      </c>
      <c r="B112" s="28">
        <v>1</v>
      </c>
      <c r="C112" s="61">
        <v>350000</v>
      </c>
      <c r="D112" s="61">
        <f t="shared" si="9"/>
        <v>350000</v>
      </c>
      <c r="E112" s="61"/>
      <c r="F112" s="61">
        <f t="shared" si="10"/>
        <v>350000</v>
      </c>
      <c r="G112" s="61">
        <f t="shared" si="11"/>
        <v>350000</v>
      </c>
      <c r="H112" s="62"/>
      <c r="I112" s="62"/>
    </row>
    <row r="113" spans="1:9" ht="12.75">
      <c r="A113" s="28" t="s">
        <v>173</v>
      </c>
      <c r="B113" s="28">
        <v>1</v>
      </c>
      <c r="C113" s="61">
        <v>300000</v>
      </c>
      <c r="D113" s="61">
        <f t="shared" si="9"/>
        <v>300000</v>
      </c>
      <c r="E113" s="61"/>
      <c r="F113" s="61">
        <f t="shared" si="10"/>
        <v>300000</v>
      </c>
      <c r="G113" s="61">
        <f t="shared" si="11"/>
        <v>300000</v>
      </c>
      <c r="H113" s="62"/>
      <c r="I113" s="62"/>
    </row>
    <row r="114" spans="1:9" ht="12.75">
      <c r="A114" s="28" t="s">
        <v>174</v>
      </c>
      <c r="B114" s="28">
        <v>1</v>
      </c>
      <c r="C114" s="61">
        <v>200000</v>
      </c>
      <c r="D114" s="61">
        <f t="shared" si="9"/>
        <v>200000</v>
      </c>
      <c r="E114" s="61"/>
      <c r="F114" s="61">
        <f t="shared" si="10"/>
        <v>200000</v>
      </c>
      <c r="G114" s="61">
        <f t="shared" si="11"/>
        <v>200000</v>
      </c>
      <c r="H114" s="62"/>
      <c r="I114" s="62"/>
    </row>
    <row r="115" spans="1:9" ht="12.75">
      <c r="A115" s="28" t="s">
        <v>175</v>
      </c>
      <c r="B115" s="28">
        <v>1</v>
      </c>
      <c r="C115" s="61">
        <v>3500000</v>
      </c>
      <c r="D115" s="61">
        <f t="shared" si="9"/>
        <v>3500000</v>
      </c>
      <c r="E115" s="61"/>
      <c r="F115" s="61">
        <v>0</v>
      </c>
      <c r="G115" s="61">
        <v>0</v>
      </c>
      <c r="H115" s="62"/>
      <c r="I115" s="61">
        <v>3500000</v>
      </c>
    </row>
    <row r="116" spans="1:9" ht="12.75">
      <c r="A116" s="28" t="s">
        <v>261</v>
      </c>
      <c r="B116" s="28">
        <v>1</v>
      </c>
      <c r="C116" s="61">
        <v>475600</v>
      </c>
      <c r="D116" s="61">
        <f t="shared" si="9"/>
        <v>475600</v>
      </c>
      <c r="E116" s="61"/>
      <c r="F116" s="61">
        <v>0</v>
      </c>
      <c r="G116" s="61">
        <v>0</v>
      </c>
      <c r="H116" s="62"/>
      <c r="I116" s="62">
        <f>+D116</f>
        <v>475600</v>
      </c>
    </row>
    <row r="117" spans="1:9" ht="12.75">
      <c r="A117" s="28" t="s">
        <v>176</v>
      </c>
      <c r="B117" s="28">
        <v>1</v>
      </c>
      <c r="C117" s="61">
        <f>3187080*1.05</f>
        <v>3346434</v>
      </c>
      <c r="D117" s="61">
        <f t="shared" si="9"/>
        <v>3346434</v>
      </c>
      <c r="E117" s="61"/>
      <c r="F117" s="61">
        <f t="shared" si="10"/>
        <v>3346434</v>
      </c>
      <c r="G117" s="61">
        <f t="shared" si="11"/>
        <v>3346434</v>
      </c>
      <c r="H117" s="62"/>
      <c r="I117" s="62"/>
    </row>
    <row r="118" spans="1:9" ht="12.75">
      <c r="A118" s="29" t="s">
        <v>66</v>
      </c>
      <c r="B118" s="30"/>
      <c r="C118" s="66"/>
      <c r="D118" s="67">
        <f>SUM(D104:D117)</f>
        <v>17782846.6</v>
      </c>
      <c r="E118" s="67"/>
      <c r="F118" s="67">
        <f>SUM(F104:F117)</f>
        <v>13807246.6</v>
      </c>
      <c r="G118" s="63">
        <f>SUM(G104:G117)</f>
        <v>13807246.6</v>
      </c>
      <c r="H118" s="62"/>
      <c r="I118" s="67">
        <f>SUM(I116:I117)</f>
        <v>475600</v>
      </c>
    </row>
    <row r="119" spans="1:9" ht="12.75">
      <c r="A119" s="46"/>
      <c r="B119" s="46"/>
      <c r="C119" s="46"/>
      <c r="D119" s="46"/>
      <c r="E119" s="46"/>
      <c r="F119" s="46"/>
      <c r="G119" s="46"/>
      <c r="H119" s="46"/>
      <c r="I119" s="46"/>
    </row>
    <row r="120" spans="1:9" ht="12.75">
      <c r="A120" s="51" t="s">
        <v>177</v>
      </c>
      <c r="B120" s="48"/>
      <c r="C120" s="48"/>
      <c r="D120" s="48"/>
      <c r="E120" s="48"/>
      <c r="F120" s="48"/>
      <c r="G120" s="48"/>
      <c r="H120" s="48"/>
      <c r="I120" s="48"/>
    </row>
    <row r="121" spans="1:9" ht="12.75">
      <c r="A121" s="28" t="s">
        <v>178</v>
      </c>
      <c r="B121" s="28">
        <v>1</v>
      </c>
      <c r="C121" s="61">
        <f>664200*1.05</f>
        <v>697410</v>
      </c>
      <c r="D121" s="61">
        <f>+B121*C121</f>
        <v>697410</v>
      </c>
      <c r="E121" s="61"/>
      <c r="F121" s="61">
        <f>+D121</f>
        <v>697410</v>
      </c>
      <c r="G121" s="61">
        <f>+D121</f>
        <v>697410</v>
      </c>
      <c r="H121" s="62"/>
      <c r="I121" s="62"/>
    </row>
    <row r="122" spans="1:9" ht="12.75">
      <c r="A122" s="28" t="s">
        <v>179</v>
      </c>
      <c r="B122" s="28">
        <v>1</v>
      </c>
      <c r="C122" s="61">
        <f>558360*1.05</f>
        <v>586278</v>
      </c>
      <c r="D122" s="61">
        <f aca="true" t="shared" si="12" ref="D122:D159">+B122*C122</f>
        <v>586278</v>
      </c>
      <c r="E122" s="61"/>
      <c r="F122" s="61">
        <f aca="true" t="shared" si="13" ref="F122:F159">+D122</f>
        <v>586278</v>
      </c>
      <c r="G122" s="61">
        <f aca="true" t="shared" si="14" ref="G122:G159">+D122</f>
        <v>586278</v>
      </c>
      <c r="H122" s="62"/>
      <c r="I122" s="62"/>
    </row>
    <row r="123" spans="1:9" ht="12.75">
      <c r="A123" s="28" t="s">
        <v>180</v>
      </c>
      <c r="B123" s="28">
        <v>1</v>
      </c>
      <c r="C123" s="61">
        <f>583200*1.05</f>
        <v>612360</v>
      </c>
      <c r="D123" s="61">
        <f t="shared" si="12"/>
        <v>612360</v>
      </c>
      <c r="E123" s="61"/>
      <c r="F123" s="61">
        <f t="shared" si="13"/>
        <v>612360</v>
      </c>
      <c r="G123" s="61">
        <f t="shared" si="14"/>
        <v>612360</v>
      </c>
      <c r="H123" s="62"/>
      <c r="I123" s="62"/>
    </row>
    <row r="124" spans="1:9" ht="12.75">
      <c r="A124" s="28" t="s">
        <v>181</v>
      </c>
      <c r="B124" s="28">
        <v>1</v>
      </c>
      <c r="C124" s="61">
        <f>1246320*1.05</f>
        <v>1308636</v>
      </c>
      <c r="D124" s="61">
        <f t="shared" si="12"/>
        <v>1308636</v>
      </c>
      <c r="E124" s="61"/>
      <c r="F124" s="61">
        <f t="shared" si="13"/>
        <v>1308636</v>
      </c>
      <c r="G124" s="61">
        <f t="shared" si="14"/>
        <v>1308636</v>
      </c>
      <c r="H124" s="62"/>
      <c r="I124" s="62"/>
    </row>
    <row r="125" spans="1:9" ht="12.75">
      <c r="A125" s="28" t="s">
        <v>182</v>
      </c>
      <c r="B125" s="28">
        <v>1</v>
      </c>
      <c r="C125" s="61">
        <f>1166400*1.05</f>
        <v>1224720</v>
      </c>
      <c r="D125" s="61">
        <f t="shared" si="12"/>
        <v>1224720</v>
      </c>
      <c r="E125" s="61"/>
      <c r="F125" s="61">
        <f t="shared" si="13"/>
        <v>1224720</v>
      </c>
      <c r="G125" s="61">
        <f t="shared" si="14"/>
        <v>1224720</v>
      </c>
      <c r="H125" s="62"/>
      <c r="I125" s="62"/>
    </row>
    <row r="126" spans="1:9" ht="12.75">
      <c r="A126" s="28" t="s">
        <v>183</v>
      </c>
      <c r="B126" s="28">
        <v>1</v>
      </c>
      <c r="C126" s="61">
        <f>810000*1.05</f>
        <v>850500</v>
      </c>
      <c r="D126" s="61">
        <f t="shared" si="12"/>
        <v>850500</v>
      </c>
      <c r="E126" s="61"/>
      <c r="F126" s="61">
        <f t="shared" si="13"/>
        <v>850500</v>
      </c>
      <c r="G126" s="61">
        <f t="shared" si="14"/>
        <v>850500</v>
      </c>
      <c r="H126" s="62"/>
      <c r="I126" s="62"/>
    </row>
    <row r="127" spans="1:9" ht="12.75">
      <c r="A127" s="28" t="s">
        <v>292</v>
      </c>
      <c r="B127" s="28">
        <v>5</v>
      </c>
      <c r="C127" s="61">
        <f>1246320*1.05</f>
        <v>1308636</v>
      </c>
      <c r="D127" s="61">
        <f t="shared" si="12"/>
        <v>6543180</v>
      </c>
      <c r="E127" s="61"/>
      <c r="F127" s="61">
        <f t="shared" si="13"/>
        <v>6543180</v>
      </c>
      <c r="G127" s="61">
        <f t="shared" si="14"/>
        <v>6543180</v>
      </c>
      <c r="H127" s="62"/>
      <c r="I127" s="62"/>
    </row>
    <row r="128" spans="1:9" ht="12.75">
      <c r="A128" s="28" t="s">
        <v>184</v>
      </c>
      <c r="B128" s="28">
        <v>3</v>
      </c>
      <c r="C128" s="61">
        <f>949403*1.05</f>
        <v>996873.15</v>
      </c>
      <c r="D128" s="61">
        <f t="shared" si="12"/>
        <v>2990619.45</v>
      </c>
      <c r="E128" s="61"/>
      <c r="F128" s="61">
        <f t="shared" si="13"/>
        <v>2990619.45</v>
      </c>
      <c r="G128" s="61">
        <f t="shared" si="14"/>
        <v>2990619.45</v>
      </c>
      <c r="H128" s="62"/>
      <c r="I128" s="62"/>
    </row>
    <row r="129" spans="1:9" ht="12.75">
      <c r="A129" s="28" t="s">
        <v>185</v>
      </c>
      <c r="B129" s="28">
        <v>1</v>
      </c>
      <c r="C129" s="61">
        <f>14148000*1.05</f>
        <v>14855400</v>
      </c>
      <c r="D129" s="61">
        <f t="shared" si="12"/>
        <v>14855400</v>
      </c>
      <c r="E129" s="61"/>
      <c r="F129" s="61">
        <f t="shared" si="13"/>
        <v>14855400</v>
      </c>
      <c r="G129" s="61">
        <f t="shared" si="14"/>
        <v>14855400</v>
      </c>
      <c r="H129" s="62"/>
      <c r="I129" s="62"/>
    </row>
    <row r="130" spans="1:9" ht="12.75">
      <c r="A130" s="28" t="s">
        <v>186</v>
      </c>
      <c r="B130" s="28">
        <v>1</v>
      </c>
      <c r="C130" s="61">
        <f>8528717*1.05</f>
        <v>8955152.85</v>
      </c>
      <c r="D130" s="61">
        <f t="shared" si="12"/>
        <v>8955152.85</v>
      </c>
      <c r="E130" s="61"/>
      <c r="F130" s="61">
        <f t="shared" si="13"/>
        <v>8955152.85</v>
      </c>
      <c r="G130" s="61">
        <f t="shared" si="14"/>
        <v>8955152.85</v>
      </c>
      <c r="H130" s="62"/>
      <c r="I130" s="62"/>
    </row>
    <row r="131" spans="1:9" ht="12.75">
      <c r="A131" s="28" t="s">
        <v>187</v>
      </c>
      <c r="B131" s="28">
        <v>1</v>
      </c>
      <c r="C131" s="61">
        <f>8164800*1.05</f>
        <v>8573040</v>
      </c>
      <c r="D131" s="61">
        <f t="shared" si="12"/>
        <v>8573040</v>
      </c>
      <c r="E131" s="61"/>
      <c r="F131" s="61">
        <f t="shared" si="13"/>
        <v>8573040</v>
      </c>
      <c r="G131" s="61">
        <f t="shared" si="14"/>
        <v>8573040</v>
      </c>
      <c r="H131" s="62"/>
      <c r="I131" s="62"/>
    </row>
    <row r="132" spans="1:9" ht="12.75">
      <c r="A132" s="28" t="s">
        <v>188</v>
      </c>
      <c r="B132" s="28">
        <v>1</v>
      </c>
      <c r="C132" s="61">
        <f>50868000*1.05</f>
        <v>53411400</v>
      </c>
      <c r="D132" s="61">
        <f t="shared" si="12"/>
        <v>53411400</v>
      </c>
      <c r="E132" s="61"/>
      <c r="F132" s="61">
        <f t="shared" si="13"/>
        <v>53411400</v>
      </c>
      <c r="G132" s="61">
        <f t="shared" si="14"/>
        <v>53411400</v>
      </c>
      <c r="H132" s="62"/>
      <c r="I132" s="62"/>
    </row>
    <row r="133" spans="1:9" ht="12.75">
      <c r="A133" s="28" t="s">
        <v>189</v>
      </c>
      <c r="B133" s="28">
        <v>1</v>
      </c>
      <c r="C133" s="61">
        <f>7047389*1.05</f>
        <v>7399758.45</v>
      </c>
      <c r="D133" s="61">
        <f t="shared" si="12"/>
        <v>7399758.45</v>
      </c>
      <c r="E133" s="61"/>
      <c r="F133" s="61">
        <f t="shared" si="13"/>
        <v>7399758.45</v>
      </c>
      <c r="G133" s="61">
        <f t="shared" si="14"/>
        <v>7399758.45</v>
      </c>
      <c r="H133" s="62"/>
      <c r="I133" s="62"/>
    </row>
    <row r="134" spans="1:9" ht="12.75">
      <c r="A134" s="28" t="s">
        <v>190</v>
      </c>
      <c r="B134" s="28">
        <v>2</v>
      </c>
      <c r="C134" s="61">
        <f>6032880*1.05</f>
        <v>6334524</v>
      </c>
      <c r="D134" s="61">
        <f t="shared" si="12"/>
        <v>12669048</v>
      </c>
      <c r="E134" s="61"/>
      <c r="F134" s="61">
        <f t="shared" si="13"/>
        <v>12669048</v>
      </c>
      <c r="G134" s="61">
        <f t="shared" si="14"/>
        <v>12669048</v>
      </c>
      <c r="H134" s="62"/>
      <c r="I134" s="62"/>
    </row>
    <row r="135" spans="1:9" ht="12.75">
      <c r="A135" s="28" t="s">
        <v>191</v>
      </c>
      <c r="B135" s="28">
        <v>1</v>
      </c>
      <c r="C135" s="61">
        <f>3888000*1.05</f>
        <v>4082400</v>
      </c>
      <c r="D135" s="61">
        <f t="shared" si="12"/>
        <v>4082400</v>
      </c>
      <c r="E135" s="61"/>
      <c r="F135" s="61">
        <f t="shared" si="13"/>
        <v>4082400</v>
      </c>
      <c r="G135" s="61">
        <f t="shared" si="14"/>
        <v>4082400</v>
      </c>
      <c r="H135" s="62"/>
      <c r="I135" s="62"/>
    </row>
    <row r="136" spans="1:9" ht="12.75">
      <c r="A136" s="28" t="s">
        <v>293</v>
      </c>
      <c r="B136" s="28">
        <v>1</v>
      </c>
      <c r="C136" s="61">
        <f>38016000*1.05</f>
        <v>39916800</v>
      </c>
      <c r="D136" s="61">
        <f t="shared" si="12"/>
        <v>39916800</v>
      </c>
      <c r="E136" s="61"/>
      <c r="F136" s="61">
        <f t="shared" si="13"/>
        <v>39916800</v>
      </c>
      <c r="G136" s="61">
        <f t="shared" si="14"/>
        <v>39916800</v>
      </c>
      <c r="H136" s="62"/>
      <c r="I136" s="62"/>
    </row>
    <row r="137" spans="1:9" ht="12.75">
      <c r="A137" s="28" t="s">
        <v>294</v>
      </c>
      <c r="B137" s="28">
        <v>1</v>
      </c>
      <c r="C137" s="61">
        <f>2326968*1.05</f>
        <v>2443316.4</v>
      </c>
      <c r="D137" s="61">
        <f t="shared" si="12"/>
        <v>2443316.4</v>
      </c>
      <c r="E137" s="61"/>
      <c r="F137" s="61">
        <f t="shared" si="13"/>
        <v>2443316.4</v>
      </c>
      <c r="G137" s="61">
        <f t="shared" si="14"/>
        <v>2443316.4</v>
      </c>
      <c r="H137" s="62"/>
      <c r="I137" s="62"/>
    </row>
    <row r="138" spans="1:9" ht="12.75">
      <c r="A138" s="28" t="s">
        <v>295</v>
      </c>
      <c r="B138" s="28">
        <v>3</v>
      </c>
      <c r="C138" s="61">
        <f>2449440*1.05</f>
        <v>2571912</v>
      </c>
      <c r="D138" s="61">
        <f t="shared" si="12"/>
        <v>7715736</v>
      </c>
      <c r="E138" s="61"/>
      <c r="F138" s="61">
        <f t="shared" si="13"/>
        <v>7715736</v>
      </c>
      <c r="G138" s="61">
        <f t="shared" si="14"/>
        <v>7715736</v>
      </c>
      <c r="H138" s="62"/>
      <c r="I138" s="62"/>
    </row>
    <row r="139" spans="1:9" ht="12.75">
      <c r="A139" s="28" t="s">
        <v>192</v>
      </c>
      <c r="B139" s="28">
        <v>8</v>
      </c>
      <c r="C139" s="61">
        <f>2683800*1.05</f>
        <v>2817990</v>
      </c>
      <c r="D139" s="61">
        <f t="shared" si="12"/>
        <v>22543920</v>
      </c>
      <c r="E139" s="61"/>
      <c r="F139" s="61">
        <f t="shared" si="13"/>
        <v>22543920</v>
      </c>
      <c r="G139" s="61">
        <f t="shared" si="14"/>
        <v>22543920</v>
      </c>
      <c r="H139" s="62"/>
      <c r="I139" s="62"/>
    </row>
    <row r="140" spans="1:9" ht="12.75">
      <c r="A140" s="28" t="s">
        <v>193</v>
      </c>
      <c r="B140" s="28">
        <v>1</v>
      </c>
      <c r="C140" s="61">
        <f>8208000*1.05</f>
        <v>8618400</v>
      </c>
      <c r="D140" s="61">
        <f t="shared" si="12"/>
        <v>8618400</v>
      </c>
      <c r="E140" s="61"/>
      <c r="F140" s="61">
        <f t="shared" si="13"/>
        <v>8618400</v>
      </c>
      <c r="G140" s="61">
        <f t="shared" si="14"/>
        <v>8618400</v>
      </c>
      <c r="H140" s="62"/>
      <c r="I140" s="62"/>
    </row>
    <row r="141" spans="1:9" ht="12.75">
      <c r="A141" s="28" t="s">
        <v>194</v>
      </c>
      <c r="B141" s="28">
        <v>1</v>
      </c>
      <c r="C141" s="61">
        <f>3382560*1.05</f>
        <v>3551688</v>
      </c>
      <c r="D141" s="61">
        <f t="shared" si="12"/>
        <v>3551688</v>
      </c>
      <c r="E141" s="61"/>
      <c r="F141" s="61">
        <f t="shared" si="13"/>
        <v>3551688</v>
      </c>
      <c r="G141" s="61">
        <f t="shared" si="14"/>
        <v>3551688</v>
      </c>
      <c r="H141" s="62"/>
      <c r="I141" s="62"/>
    </row>
    <row r="142" spans="1:9" ht="12.75">
      <c r="A142" s="28" t="s">
        <v>195</v>
      </c>
      <c r="B142" s="28">
        <v>1</v>
      </c>
      <c r="C142" s="61">
        <f>17496000*1.05</f>
        <v>18370800</v>
      </c>
      <c r="D142" s="61">
        <f t="shared" si="12"/>
        <v>18370800</v>
      </c>
      <c r="E142" s="61"/>
      <c r="F142" s="61">
        <f t="shared" si="13"/>
        <v>18370800</v>
      </c>
      <c r="G142" s="61">
        <f t="shared" si="14"/>
        <v>18370800</v>
      </c>
      <c r="H142" s="62"/>
      <c r="I142" s="62"/>
    </row>
    <row r="143" spans="1:9" ht="12.75">
      <c r="A143" s="28" t="s">
        <v>196</v>
      </c>
      <c r="B143" s="28">
        <v>3</v>
      </c>
      <c r="C143" s="61">
        <f>583200*1.05</f>
        <v>612360</v>
      </c>
      <c r="D143" s="61">
        <f t="shared" si="12"/>
        <v>1837080</v>
      </c>
      <c r="E143" s="61"/>
      <c r="F143" s="61">
        <f t="shared" si="13"/>
        <v>1837080</v>
      </c>
      <c r="G143" s="61">
        <f t="shared" si="14"/>
        <v>1837080</v>
      </c>
      <c r="H143" s="62"/>
      <c r="I143" s="62"/>
    </row>
    <row r="144" spans="1:9" ht="12.75">
      <c r="A144" s="28" t="s">
        <v>197</v>
      </c>
      <c r="B144" s="28">
        <v>1</v>
      </c>
      <c r="C144" s="61">
        <f>23753688*1.05</f>
        <v>24941372.400000002</v>
      </c>
      <c r="D144" s="61">
        <f t="shared" si="12"/>
        <v>24941372.400000002</v>
      </c>
      <c r="E144" s="61"/>
      <c r="F144" s="61">
        <f t="shared" si="13"/>
        <v>24941372.400000002</v>
      </c>
      <c r="G144" s="61">
        <f t="shared" si="14"/>
        <v>24941372.400000002</v>
      </c>
      <c r="H144" s="62"/>
      <c r="I144" s="62"/>
    </row>
    <row r="145" spans="1:9" ht="12.75">
      <c r="A145" s="28" t="s">
        <v>198</v>
      </c>
      <c r="B145" s="28">
        <v>1</v>
      </c>
      <c r="C145" s="61">
        <f>4320000*1.05</f>
        <v>4536000</v>
      </c>
      <c r="D145" s="61">
        <f t="shared" si="12"/>
        <v>4536000</v>
      </c>
      <c r="E145" s="61"/>
      <c r="F145" s="61">
        <f t="shared" si="13"/>
        <v>4536000</v>
      </c>
      <c r="G145" s="61">
        <f t="shared" si="14"/>
        <v>4536000</v>
      </c>
      <c r="H145" s="62"/>
      <c r="I145" s="62"/>
    </row>
    <row r="146" spans="1:9" ht="12.75">
      <c r="A146" s="28" t="s">
        <v>199</v>
      </c>
      <c r="B146" s="28">
        <v>1</v>
      </c>
      <c r="C146" s="61">
        <f>14407200*1.05</f>
        <v>15127560</v>
      </c>
      <c r="D146" s="61">
        <f t="shared" si="12"/>
        <v>15127560</v>
      </c>
      <c r="E146" s="61"/>
      <c r="F146" s="61">
        <f t="shared" si="13"/>
        <v>15127560</v>
      </c>
      <c r="G146" s="61">
        <f t="shared" si="14"/>
        <v>15127560</v>
      </c>
      <c r="H146" s="62"/>
      <c r="I146" s="62"/>
    </row>
    <row r="147" spans="1:9" ht="12.75">
      <c r="A147" s="28" t="s">
        <v>200</v>
      </c>
      <c r="B147" s="28">
        <v>1</v>
      </c>
      <c r="C147" s="61">
        <f>11664000*1.05</f>
        <v>12247200</v>
      </c>
      <c r="D147" s="61">
        <f t="shared" si="12"/>
        <v>12247200</v>
      </c>
      <c r="E147" s="61"/>
      <c r="F147" s="61">
        <f t="shared" si="13"/>
        <v>12247200</v>
      </c>
      <c r="G147" s="61">
        <f t="shared" si="14"/>
        <v>12247200</v>
      </c>
      <c r="H147" s="62"/>
      <c r="I147" s="62"/>
    </row>
    <row r="148" spans="1:9" ht="12.75">
      <c r="A148" s="28" t="s">
        <v>201</v>
      </c>
      <c r="B148" s="28">
        <v>1</v>
      </c>
      <c r="C148" s="61">
        <f>486000*1.05</f>
        <v>510300</v>
      </c>
      <c r="D148" s="61">
        <f t="shared" si="12"/>
        <v>510300</v>
      </c>
      <c r="E148" s="61"/>
      <c r="F148" s="61">
        <f t="shared" si="13"/>
        <v>510300</v>
      </c>
      <c r="G148" s="61">
        <f t="shared" si="14"/>
        <v>510300</v>
      </c>
      <c r="H148" s="62"/>
      <c r="I148" s="62"/>
    </row>
    <row r="149" spans="1:9" ht="12.75">
      <c r="A149" s="28" t="s">
        <v>297</v>
      </c>
      <c r="B149" s="28">
        <v>1</v>
      </c>
      <c r="C149" s="61">
        <f>14407200*1.05</f>
        <v>15127560</v>
      </c>
      <c r="D149" s="61">
        <f t="shared" si="12"/>
        <v>15127560</v>
      </c>
      <c r="E149" s="61"/>
      <c r="F149" s="61">
        <f t="shared" si="13"/>
        <v>15127560</v>
      </c>
      <c r="G149" s="61">
        <f t="shared" si="14"/>
        <v>15127560</v>
      </c>
      <c r="H149" s="62"/>
      <c r="I149" s="62"/>
    </row>
    <row r="150" spans="1:9" ht="12.75">
      <c r="A150" s="28" t="s">
        <v>202</v>
      </c>
      <c r="B150" s="28">
        <v>1</v>
      </c>
      <c r="C150" s="61">
        <f>939600*1.05</f>
        <v>986580</v>
      </c>
      <c r="D150" s="61">
        <f t="shared" si="12"/>
        <v>986580</v>
      </c>
      <c r="E150" s="61"/>
      <c r="F150" s="61">
        <f t="shared" si="13"/>
        <v>986580</v>
      </c>
      <c r="G150" s="61">
        <f t="shared" si="14"/>
        <v>986580</v>
      </c>
      <c r="H150" s="62"/>
      <c r="I150" s="62"/>
    </row>
    <row r="151" spans="1:9" ht="12.75">
      <c r="A151" s="28" t="s">
        <v>204</v>
      </c>
      <c r="B151" s="28">
        <v>1</v>
      </c>
      <c r="C151" s="61">
        <f>4134240*1.05</f>
        <v>4340952</v>
      </c>
      <c r="D151" s="61">
        <f t="shared" si="12"/>
        <v>4340952</v>
      </c>
      <c r="E151" s="61"/>
      <c r="F151" s="61">
        <f t="shared" si="13"/>
        <v>4340952</v>
      </c>
      <c r="G151" s="61">
        <f t="shared" si="14"/>
        <v>4340952</v>
      </c>
      <c r="H151" s="62"/>
      <c r="I151" s="62"/>
    </row>
    <row r="152" spans="1:9" ht="12.75">
      <c r="A152" s="28" t="s">
        <v>205</v>
      </c>
      <c r="B152" s="28">
        <v>1</v>
      </c>
      <c r="C152" s="61">
        <f>432000*1.05</f>
        <v>453600</v>
      </c>
      <c r="D152" s="61">
        <f t="shared" si="12"/>
        <v>453600</v>
      </c>
      <c r="E152" s="61"/>
      <c r="F152" s="61">
        <f t="shared" si="13"/>
        <v>453600</v>
      </c>
      <c r="G152" s="61">
        <f t="shared" si="14"/>
        <v>453600</v>
      </c>
      <c r="H152" s="62"/>
      <c r="I152" s="62"/>
    </row>
    <row r="153" spans="1:9" ht="12.75">
      <c r="A153" s="28" t="s">
        <v>206</v>
      </c>
      <c r="B153" s="28">
        <v>3</v>
      </c>
      <c r="C153" s="61">
        <f>5574960*1.05</f>
        <v>5853708</v>
      </c>
      <c r="D153" s="61">
        <f t="shared" si="12"/>
        <v>17561124</v>
      </c>
      <c r="E153" s="61"/>
      <c r="F153" s="61">
        <f t="shared" si="13"/>
        <v>17561124</v>
      </c>
      <c r="G153" s="61">
        <f t="shared" si="14"/>
        <v>17561124</v>
      </c>
      <c r="H153" s="62"/>
      <c r="I153" s="62"/>
    </row>
    <row r="154" spans="1:9" ht="12.75">
      <c r="A154" s="28" t="s">
        <v>207</v>
      </c>
      <c r="B154" s="28">
        <v>2</v>
      </c>
      <c r="C154" s="61">
        <f>1711875*1.05</f>
        <v>1797468.75</v>
      </c>
      <c r="D154" s="61">
        <f t="shared" si="12"/>
        <v>3594937.5</v>
      </c>
      <c r="E154" s="61"/>
      <c r="F154" s="61">
        <f t="shared" si="13"/>
        <v>3594937.5</v>
      </c>
      <c r="G154" s="61">
        <f t="shared" si="14"/>
        <v>3594937.5</v>
      </c>
      <c r="H154" s="62"/>
      <c r="I154" s="62"/>
    </row>
    <row r="155" spans="1:9" ht="12.75">
      <c r="A155" s="28" t="s">
        <v>208</v>
      </c>
      <c r="B155" s="28">
        <v>1</v>
      </c>
      <c r="C155" s="61">
        <f>6682877*1.05</f>
        <v>7017020.850000001</v>
      </c>
      <c r="D155" s="61">
        <f t="shared" si="12"/>
        <v>7017020.850000001</v>
      </c>
      <c r="E155" s="61"/>
      <c r="F155" s="61">
        <f t="shared" si="13"/>
        <v>7017020.850000001</v>
      </c>
      <c r="G155" s="61">
        <f t="shared" si="14"/>
        <v>7017020.850000001</v>
      </c>
      <c r="H155" s="62"/>
      <c r="I155" s="62"/>
    </row>
    <row r="156" spans="1:9" ht="12.75">
      <c r="A156" s="28" t="s">
        <v>209</v>
      </c>
      <c r="B156" s="28">
        <v>1</v>
      </c>
      <c r="C156" s="61">
        <f>6322882*1.05</f>
        <v>6639026.100000001</v>
      </c>
      <c r="D156" s="61">
        <f t="shared" si="12"/>
        <v>6639026.100000001</v>
      </c>
      <c r="E156" s="61"/>
      <c r="F156" s="61">
        <f t="shared" si="13"/>
        <v>6639026.100000001</v>
      </c>
      <c r="G156" s="61">
        <f t="shared" si="14"/>
        <v>6639026.100000001</v>
      </c>
      <c r="H156" s="62"/>
      <c r="I156" s="62"/>
    </row>
    <row r="157" spans="1:9" ht="12.75">
      <c r="A157" s="28" t="s">
        <v>210</v>
      </c>
      <c r="B157" s="28">
        <v>2</v>
      </c>
      <c r="C157" s="61">
        <f>2916000*1.05</f>
        <v>3061800</v>
      </c>
      <c r="D157" s="61">
        <f t="shared" si="12"/>
        <v>6123600</v>
      </c>
      <c r="E157" s="61"/>
      <c r="F157" s="61">
        <f t="shared" si="13"/>
        <v>6123600</v>
      </c>
      <c r="G157" s="61">
        <f t="shared" si="14"/>
        <v>6123600</v>
      </c>
      <c r="H157" s="62"/>
      <c r="I157" s="62"/>
    </row>
    <row r="158" spans="1:9" ht="12.75">
      <c r="A158" s="28" t="s">
        <v>211</v>
      </c>
      <c r="B158" s="28">
        <v>3</v>
      </c>
      <c r="C158" s="61">
        <f>1051920*1.05</f>
        <v>1104516</v>
      </c>
      <c r="D158" s="61">
        <f t="shared" si="12"/>
        <v>3313548</v>
      </c>
      <c r="E158" s="61"/>
      <c r="F158" s="61">
        <f t="shared" si="13"/>
        <v>3313548</v>
      </c>
      <c r="G158" s="61">
        <f t="shared" si="14"/>
        <v>3313548</v>
      </c>
      <c r="H158" s="62"/>
      <c r="I158" s="62"/>
    </row>
    <row r="159" spans="1:9" ht="12.75">
      <c r="A159" s="28" t="s">
        <v>212</v>
      </c>
      <c r="B159" s="28">
        <v>5</v>
      </c>
      <c r="C159" s="61">
        <f>209952*1.05</f>
        <v>220449.6</v>
      </c>
      <c r="D159" s="61">
        <f t="shared" si="12"/>
        <v>1102248</v>
      </c>
      <c r="E159" s="61"/>
      <c r="F159" s="61">
        <f t="shared" si="13"/>
        <v>1102248</v>
      </c>
      <c r="G159" s="61">
        <f t="shared" si="14"/>
        <v>1102248</v>
      </c>
      <c r="H159" s="62"/>
      <c r="I159" s="62"/>
    </row>
    <row r="160" spans="1:9" ht="12.75">
      <c r="A160" s="29" t="s">
        <v>66</v>
      </c>
      <c r="B160" s="30"/>
      <c r="C160" s="66"/>
      <c r="D160" s="63">
        <f>SUM(D121:D159)</f>
        <v>353380272.00000006</v>
      </c>
      <c r="E160" s="63"/>
      <c r="F160" s="63">
        <f>SUM(F121:F159)</f>
        <v>353380272.00000006</v>
      </c>
      <c r="G160" s="67">
        <f>SUM(G121:G159)</f>
        <v>353380272.00000006</v>
      </c>
      <c r="H160" s="67">
        <f>SUM(H121:H159)</f>
        <v>0</v>
      </c>
      <c r="I160" s="67">
        <f>SUM(I121:I159)</f>
        <v>0</v>
      </c>
    </row>
    <row r="161" spans="1:9" ht="12.75">
      <c r="A161" s="46"/>
      <c r="B161" s="46"/>
      <c r="C161" s="46"/>
      <c r="D161" s="59"/>
      <c r="E161" s="59"/>
      <c r="F161" s="59"/>
      <c r="G161" s="46"/>
      <c r="H161" s="46"/>
      <c r="I161" s="46"/>
    </row>
    <row r="162" spans="1:9" ht="12.75">
      <c r="A162" s="51" t="s">
        <v>213</v>
      </c>
      <c r="B162" s="48"/>
      <c r="C162" s="48"/>
      <c r="D162" s="60"/>
      <c r="E162" s="60"/>
      <c r="F162" s="60"/>
      <c r="G162" s="48"/>
      <c r="H162" s="48"/>
      <c r="I162" s="48"/>
    </row>
    <row r="163" spans="1:9" ht="12.75">
      <c r="A163" s="28" t="s">
        <v>298</v>
      </c>
      <c r="B163" s="28">
        <v>2</v>
      </c>
      <c r="C163" s="61">
        <f>2519424*1.05</f>
        <v>2645395.2</v>
      </c>
      <c r="D163" s="61">
        <f>+B163*C163</f>
        <v>5290790.4</v>
      </c>
      <c r="E163" s="61"/>
      <c r="F163" s="61">
        <f>+D163</f>
        <v>5290790.4</v>
      </c>
      <c r="G163" s="61">
        <f>+D163</f>
        <v>5290790.4</v>
      </c>
      <c r="H163" s="62"/>
      <c r="I163" s="62"/>
    </row>
    <row r="164" spans="1:9" ht="12.75">
      <c r="A164" s="28" t="s">
        <v>296</v>
      </c>
      <c r="B164" s="28">
        <v>1</v>
      </c>
      <c r="C164" s="61" t="s">
        <v>299</v>
      </c>
      <c r="D164" s="61"/>
      <c r="E164" s="61"/>
      <c r="F164" s="61"/>
      <c r="G164" s="61"/>
      <c r="H164" s="62"/>
      <c r="I164" s="62"/>
    </row>
    <row r="165" spans="1:9" ht="12.75">
      <c r="A165" s="28" t="s">
        <v>214</v>
      </c>
      <c r="B165" s="28">
        <v>1</v>
      </c>
      <c r="C165" s="61">
        <f>4660934*1.05</f>
        <v>4893980.7</v>
      </c>
      <c r="D165" s="61">
        <f>+B165*C165</f>
        <v>4893980.7</v>
      </c>
      <c r="E165" s="61"/>
      <c r="F165" s="61">
        <f>+D165</f>
        <v>4893980.7</v>
      </c>
      <c r="G165" s="61">
        <f>+D165</f>
        <v>4893980.7</v>
      </c>
      <c r="H165" s="62"/>
      <c r="I165" s="62"/>
    </row>
    <row r="166" spans="1:9" ht="12.75">
      <c r="A166" s="28" t="s">
        <v>215</v>
      </c>
      <c r="B166" s="28">
        <v>1</v>
      </c>
      <c r="C166" s="61">
        <f>5248800*1.05</f>
        <v>5511240</v>
      </c>
      <c r="D166" s="61">
        <f>+B166*C166</f>
        <v>5511240</v>
      </c>
      <c r="E166" s="61"/>
      <c r="F166" s="61">
        <f>+D166</f>
        <v>5511240</v>
      </c>
      <c r="G166" s="61">
        <f>+D166</f>
        <v>5511240</v>
      </c>
      <c r="H166" s="62"/>
      <c r="I166" s="62"/>
    </row>
    <row r="167" spans="1:9" ht="12.75">
      <c r="A167" s="28" t="s">
        <v>216</v>
      </c>
      <c r="B167" s="28">
        <v>1</v>
      </c>
      <c r="C167" s="61">
        <f>5248800*1.05</f>
        <v>5511240</v>
      </c>
      <c r="D167" s="61">
        <f>+B167*C167</f>
        <v>5511240</v>
      </c>
      <c r="E167" s="61"/>
      <c r="F167" s="61">
        <f>+D167</f>
        <v>5511240</v>
      </c>
      <c r="G167" s="61">
        <f>+D167</f>
        <v>5511240</v>
      </c>
      <c r="H167" s="62"/>
      <c r="I167" s="62"/>
    </row>
    <row r="168" spans="1:9" ht="12.75">
      <c r="A168" s="28" t="s">
        <v>217</v>
      </c>
      <c r="B168" s="28">
        <v>1</v>
      </c>
      <c r="C168" s="61">
        <f>8440070*1.05</f>
        <v>8862073.5</v>
      </c>
      <c r="D168" s="61">
        <f>+B168*C168</f>
        <v>8862073.5</v>
      </c>
      <c r="E168" s="61"/>
      <c r="F168" s="61">
        <f>+D168</f>
        <v>8862073.5</v>
      </c>
      <c r="G168" s="61">
        <f>+D168</f>
        <v>8862073.5</v>
      </c>
      <c r="H168" s="62"/>
      <c r="I168" s="62"/>
    </row>
    <row r="169" spans="1:9" ht="12.75">
      <c r="A169" s="29" t="s">
        <v>66</v>
      </c>
      <c r="B169" s="30"/>
      <c r="C169" s="66"/>
      <c r="D169" s="63">
        <f>SUM(D163:D168)</f>
        <v>30069324.6</v>
      </c>
      <c r="E169" s="63"/>
      <c r="F169" s="63">
        <f>SUM(F163:F168)</f>
        <v>30069324.6</v>
      </c>
      <c r="G169" s="67">
        <f>SUM(G163:G168)</f>
        <v>30069324.6</v>
      </c>
      <c r="H169" s="62"/>
      <c r="I169" s="62"/>
    </row>
    <row r="170" spans="1:9" ht="12.75">
      <c r="A170" s="27"/>
      <c r="B170" s="27"/>
      <c r="C170" s="68" t="s">
        <v>304</v>
      </c>
      <c r="D170" s="70">
        <f>+D93+D101+D118+D160+D169+D58+D51+D48+D7+D8+D40</f>
        <v>2967163657.9500003</v>
      </c>
      <c r="E170" s="70">
        <f>+E93+E101+E118+E160+E169+E58+E51+E48+E7+E8+E40</f>
        <v>2370192422.75</v>
      </c>
      <c r="F170" s="70">
        <f>+F93+F101+F118+F160+F169+F58+F51+F48+F7+F8+F40</f>
        <v>950065257.5</v>
      </c>
      <c r="G170" s="70">
        <f>+G93+G101+G118+G160+G169+G58+G51+G48+G7+G8+G40</f>
        <v>583897551.2</v>
      </c>
      <c r="H170" s="70">
        <f>+H93+H101+H118+H160+H169+H58+H51+H48+H7+H8+H40</f>
        <v>266310326.64999998</v>
      </c>
      <c r="I170" s="70">
        <f>+I93+I101+I118+I160+I169+I58+I51+I48+I7+I8+I40</f>
        <v>9573684</v>
      </c>
    </row>
    <row r="171" spans="1:9" ht="12.75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ht="15.75">
      <c r="A172" s="91" t="s">
        <v>10</v>
      </c>
      <c r="B172" s="27"/>
      <c r="C172" s="27"/>
      <c r="D172" s="27"/>
      <c r="E172" s="27"/>
      <c r="F172" s="27"/>
      <c r="G172" s="27"/>
      <c r="H172" s="27"/>
      <c r="I172" s="27"/>
    </row>
    <row r="173" spans="1:9" ht="12.75">
      <c r="A173" s="27" t="s">
        <v>11</v>
      </c>
      <c r="B173" s="27"/>
      <c r="C173" s="27"/>
      <c r="D173" s="27"/>
      <c r="E173" s="27"/>
      <c r="F173" s="27"/>
      <c r="G173" s="27"/>
      <c r="H173" s="27"/>
      <c r="I173" s="27"/>
    </row>
    <row r="174" spans="1:9" ht="12.75">
      <c r="A174" s="27" t="s">
        <v>79</v>
      </c>
      <c r="B174" s="27"/>
      <c r="C174" s="27"/>
      <c r="D174" s="27"/>
      <c r="E174" s="27"/>
      <c r="F174" s="27"/>
      <c r="G174" s="27"/>
      <c r="H174" s="27"/>
      <c r="I174" s="27"/>
    </row>
    <row r="175" spans="1:9" ht="12.75">
      <c r="A175" s="27" t="s">
        <v>80</v>
      </c>
      <c r="B175" s="27"/>
      <c r="C175" s="27"/>
      <c r="D175" s="27"/>
      <c r="E175" s="27"/>
      <c r="F175" s="27"/>
      <c r="G175" s="27"/>
      <c r="H175" s="27"/>
      <c r="I175" s="27"/>
    </row>
    <row r="176" spans="1:9" ht="12.75">
      <c r="A176" s="27" t="s">
        <v>81</v>
      </c>
      <c r="B176" s="27"/>
      <c r="C176" s="27"/>
      <c r="D176" s="27"/>
      <c r="E176" s="27"/>
      <c r="F176" s="27"/>
      <c r="G176" s="27"/>
      <c r="H176" s="27"/>
      <c r="I176" s="27"/>
    </row>
    <row r="177" spans="1:9" ht="12.75">
      <c r="A177" s="27" t="s">
        <v>82</v>
      </c>
      <c r="B177" s="27"/>
      <c r="C177" s="27"/>
      <c r="D177" s="27"/>
      <c r="E177" s="27"/>
      <c r="F177" s="27"/>
      <c r="G177" s="27"/>
      <c r="H177" s="27"/>
      <c r="I177" s="27"/>
    </row>
    <row r="178" spans="1:9" ht="12.75">
      <c r="A178" s="27" t="s">
        <v>12</v>
      </c>
      <c r="B178" s="27"/>
      <c r="C178" s="27"/>
      <c r="D178" s="27"/>
      <c r="E178" s="27"/>
      <c r="F178" s="27"/>
      <c r="G178" s="27"/>
      <c r="H178" s="27"/>
      <c r="I178" s="27"/>
    </row>
    <row r="179" spans="1:9" ht="12.75">
      <c r="A179" s="27" t="s">
        <v>13</v>
      </c>
      <c r="B179" s="27"/>
      <c r="C179" s="27"/>
      <c r="D179" s="27"/>
      <c r="E179" s="27"/>
      <c r="F179" s="27"/>
      <c r="G179" s="27"/>
      <c r="H179" s="27"/>
      <c r="I179" s="27"/>
    </row>
    <row r="180" spans="1:9" ht="12.75">
      <c r="A180" s="27" t="s">
        <v>14</v>
      </c>
      <c r="B180" s="27"/>
      <c r="C180" s="27"/>
      <c r="D180" s="27"/>
      <c r="E180" s="27"/>
      <c r="F180" s="27"/>
      <c r="G180" s="27"/>
      <c r="H180" s="27"/>
      <c r="I180" s="27"/>
    </row>
    <row r="181" spans="1:9" ht="12.75">
      <c r="A181" s="27" t="s">
        <v>83</v>
      </c>
      <c r="B181" s="27"/>
      <c r="C181" s="27"/>
      <c r="D181" s="27"/>
      <c r="E181" s="27"/>
      <c r="F181" s="27"/>
      <c r="G181" s="27"/>
      <c r="H181" s="27"/>
      <c r="I181" s="27"/>
    </row>
    <row r="182" spans="1:9" ht="12.75">
      <c r="A182" s="27" t="s">
        <v>47</v>
      </c>
      <c r="B182" s="27"/>
      <c r="C182" s="27"/>
      <c r="D182" s="27"/>
      <c r="E182" s="27"/>
      <c r="F182" s="27"/>
      <c r="G182" s="27"/>
      <c r="H182" s="27"/>
      <c r="I182" s="27"/>
    </row>
    <row r="183" spans="1:9" ht="12.75">
      <c r="A183" s="27" t="s">
        <v>48</v>
      </c>
      <c r="B183" s="27"/>
      <c r="C183" s="27"/>
      <c r="D183" s="27"/>
      <c r="E183" s="27"/>
      <c r="F183" s="27"/>
      <c r="G183" s="27"/>
      <c r="H183" s="27"/>
      <c r="I183" s="27"/>
    </row>
    <row r="184" spans="1:9" ht="12.75">
      <c r="A184" s="27" t="s">
        <v>49</v>
      </c>
      <c r="B184" s="27"/>
      <c r="C184" s="27"/>
      <c r="D184" s="27"/>
      <c r="E184" s="27"/>
      <c r="F184" s="27"/>
      <c r="G184" s="27"/>
      <c r="H184" s="27"/>
      <c r="I184" s="27"/>
    </row>
    <row r="185" spans="1:9" ht="12.75">
      <c r="A185" s="36" t="s">
        <v>128</v>
      </c>
      <c r="B185" s="27"/>
      <c r="C185" s="27"/>
      <c r="D185" s="27"/>
      <c r="E185" s="27"/>
      <c r="F185" s="27"/>
      <c r="G185" s="27"/>
      <c r="H185" s="27"/>
      <c r="I185" s="27"/>
    </row>
    <row r="186" spans="1:9" ht="12.75">
      <c r="A186" s="27" t="s">
        <v>84</v>
      </c>
      <c r="B186" s="27"/>
      <c r="C186" s="27"/>
      <c r="D186" s="27"/>
      <c r="E186" s="27"/>
      <c r="F186" s="27"/>
      <c r="G186" s="27"/>
      <c r="H186" s="27"/>
      <c r="I186" s="27"/>
    </row>
    <row r="187" spans="1:9" ht="12.75">
      <c r="A187" s="27" t="s">
        <v>129</v>
      </c>
      <c r="B187" s="27"/>
      <c r="C187" s="27"/>
      <c r="D187" s="27"/>
      <c r="E187" s="27"/>
      <c r="F187" s="27"/>
      <c r="G187" s="27"/>
      <c r="H187" s="27"/>
      <c r="I187" s="27"/>
    </row>
    <row r="188" spans="1:9" ht="12.75">
      <c r="A188" s="27" t="s">
        <v>67</v>
      </c>
      <c r="B188" s="27"/>
      <c r="C188" s="27"/>
      <c r="D188" s="27"/>
      <c r="E188" s="27"/>
      <c r="F188" s="27"/>
      <c r="G188" s="27"/>
      <c r="H188" s="27"/>
      <c r="I188" s="27"/>
    </row>
    <row r="189" spans="1:9" ht="12.75">
      <c r="A189" s="36" t="s">
        <v>130</v>
      </c>
      <c r="B189" s="27"/>
      <c r="C189" s="27"/>
      <c r="D189" s="27"/>
      <c r="E189" s="27"/>
      <c r="F189" s="27"/>
      <c r="G189" s="27"/>
      <c r="H189" s="27"/>
      <c r="I189" s="27"/>
    </row>
    <row r="190" spans="1:9" ht="12.75">
      <c r="A190" s="27" t="s">
        <v>68</v>
      </c>
      <c r="B190" s="27"/>
      <c r="C190" s="27"/>
      <c r="D190" s="27"/>
      <c r="E190" s="27"/>
      <c r="F190" s="27"/>
      <c r="G190" s="27"/>
      <c r="H190" s="27"/>
      <c r="I190" s="27"/>
    </row>
    <row r="191" spans="1:9" ht="12.75">
      <c r="A191" s="27" t="s">
        <v>114</v>
      </c>
      <c r="B191" s="27"/>
      <c r="C191" s="27"/>
      <c r="D191" s="27"/>
      <c r="E191" s="27"/>
      <c r="F191" s="27"/>
      <c r="G191" s="27"/>
      <c r="H191" s="27"/>
      <c r="I191" s="27"/>
    </row>
    <row r="192" spans="1:9" ht="12.75">
      <c r="A192" s="27" t="s">
        <v>256</v>
      </c>
      <c r="B192" s="27"/>
      <c r="C192" s="27"/>
      <c r="D192" s="27"/>
      <c r="E192" s="27"/>
      <c r="F192" s="27"/>
      <c r="G192" s="27"/>
      <c r="H192" s="27"/>
      <c r="I192" s="27"/>
    </row>
    <row r="193" spans="1:9" ht="12.75">
      <c r="A193" s="27" t="s">
        <v>120</v>
      </c>
      <c r="B193" s="27"/>
      <c r="C193" s="27"/>
      <c r="D193" s="27"/>
      <c r="E193" s="27"/>
      <c r="F193" s="27"/>
      <c r="G193" s="27"/>
      <c r="H193" s="27"/>
      <c r="I193" s="27"/>
    </row>
    <row r="194" spans="1:9" ht="12.75">
      <c r="A194" s="27" t="s">
        <v>121</v>
      </c>
      <c r="B194" s="27"/>
      <c r="C194" s="27"/>
      <c r="D194" s="27"/>
      <c r="E194" s="27"/>
      <c r="F194" s="27"/>
      <c r="G194" s="27"/>
      <c r="H194" s="27"/>
      <c r="I194" s="27"/>
    </row>
    <row r="195" spans="1:9" ht="12.75">
      <c r="A195" s="27" t="s">
        <v>50</v>
      </c>
      <c r="B195" s="27"/>
      <c r="C195" s="27"/>
      <c r="D195" s="27"/>
      <c r="E195" s="27"/>
      <c r="F195" s="27"/>
      <c r="G195" s="27"/>
      <c r="H195" s="27"/>
      <c r="I195" s="27"/>
    </row>
  </sheetData>
  <sheetProtection/>
  <mergeCells count="4">
    <mergeCell ref="A1:I1"/>
    <mergeCell ref="A4:I4"/>
    <mergeCell ref="A87:I87"/>
    <mergeCell ref="A2:I2"/>
  </mergeCells>
  <printOptions horizontalCentered="1" verticalCentered="1"/>
  <pageMargins left="0.3937007874015748" right="0.3937007874015748" top="0.38" bottom="0.4" header="0" footer="0"/>
  <pageSetup horizontalDpi="600" verticalDpi="600" orientation="landscape" scale="90" r:id="rId1"/>
  <headerFooter alignWithMargins="0">
    <oddHeader>&amp;C
</oddHeader>
  </headerFooter>
  <rowBreaks count="5" manualBreakCount="5">
    <brk id="41" max="8" man="1"/>
    <brk id="59" max="8" man="1"/>
    <brk id="94" max="8" man="1"/>
    <brk id="119" max="8" man="1"/>
    <brk id="16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12.140625" style="0" customWidth="1"/>
    <col min="3" max="3" width="21.7109375" style="0" customWidth="1"/>
    <col min="4" max="4" width="10.28125" style="0" customWidth="1"/>
    <col min="5" max="5" width="20.00390625" style="0" customWidth="1"/>
    <col min="6" max="6" width="16.57421875" style="0" customWidth="1"/>
    <col min="7" max="7" width="9.57421875" style="0" customWidth="1"/>
    <col min="8" max="8" width="15.421875" style="0" bestFit="1" customWidth="1"/>
    <col min="9" max="9" width="14.421875" style="0" bestFit="1" customWidth="1"/>
    <col min="11" max="11" width="14.00390625" style="0" customWidth="1"/>
    <col min="12" max="12" width="13.140625" style="0" customWidth="1"/>
    <col min="16" max="16" width="15.421875" style="0" bestFit="1" customWidth="1"/>
    <col min="17" max="18" width="16.57421875" style="0" bestFit="1" customWidth="1"/>
  </cols>
  <sheetData>
    <row r="1" spans="2:9" ht="15.75">
      <c r="B1" s="75" t="s">
        <v>307</v>
      </c>
      <c r="C1" s="75"/>
      <c r="D1" s="75"/>
      <c r="E1" s="75"/>
      <c r="F1" s="75"/>
      <c r="G1" s="75"/>
      <c r="H1" s="75"/>
      <c r="I1" s="75"/>
    </row>
    <row r="2" spans="2:9" ht="15.75">
      <c r="B2" s="75" t="s">
        <v>77</v>
      </c>
      <c r="C2" s="75"/>
      <c r="D2" s="75"/>
      <c r="E2" s="75"/>
      <c r="F2" s="75"/>
      <c r="G2" s="75"/>
      <c r="H2" s="75"/>
      <c r="I2" s="75"/>
    </row>
    <row r="3" spans="2:9" ht="15.75">
      <c r="B3" s="75" t="s">
        <v>309</v>
      </c>
      <c r="C3" s="75"/>
      <c r="D3" s="75"/>
      <c r="E3" s="75"/>
      <c r="F3" s="75"/>
      <c r="G3" s="75"/>
      <c r="H3" s="75"/>
      <c r="I3" s="75"/>
    </row>
    <row r="4" spans="2:9" ht="12.75">
      <c r="B4" s="39"/>
      <c r="C4" s="39"/>
      <c r="D4" s="39"/>
      <c r="E4" s="39"/>
      <c r="F4" s="39"/>
      <c r="G4" s="39"/>
      <c r="H4" s="39"/>
      <c r="I4" s="39"/>
    </row>
    <row r="5" spans="2:9" ht="12.75">
      <c r="B5" s="90" t="s">
        <v>125</v>
      </c>
      <c r="C5" s="90"/>
      <c r="D5" s="90"/>
      <c r="E5" s="90"/>
      <c r="F5" s="90"/>
      <c r="G5" s="90"/>
      <c r="H5" s="90"/>
      <c r="I5" s="90"/>
    </row>
    <row r="7" spans="1:9" ht="12.75">
      <c r="A7" s="2"/>
      <c r="B7" s="78" t="s">
        <v>40</v>
      </c>
      <c r="C7" s="77" t="s">
        <v>36</v>
      </c>
      <c r="D7" s="77" t="s">
        <v>37</v>
      </c>
      <c r="E7" s="77" t="s">
        <v>38</v>
      </c>
      <c r="F7" s="78" t="s">
        <v>39</v>
      </c>
      <c r="G7" s="79" t="s">
        <v>42</v>
      </c>
      <c r="H7" s="87" t="s">
        <v>1</v>
      </c>
      <c r="I7" s="79" t="s">
        <v>7</v>
      </c>
    </row>
    <row r="8" spans="1:9" ht="12.75">
      <c r="A8" s="3"/>
      <c r="B8" s="83" t="s">
        <v>41</v>
      </c>
      <c r="C8" s="80"/>
      <c r="D8" s="80" t="s">
        <v>6</v>
      </c>
      <c r="E8" s="80"/>
      <c r="F8" s="83"/>
      <c r="G8" s="80"/>
      <c r="H8" s="88" t="s">
        <v>2</v>
      </c>
      <c r="I8" s="80" t="s">
        <v>65</v>
      </c>
    </row>
    <row r="9" spans="1:9" ht="12.75">
      <c r="A9" s="2">
        <v>1</v>
      </c>
      <c r="B9" s="2">
        <v>1608014</v>
      </c>
      <c r="C9" s="2" t="s">
        <v>92</v>
      </c>
      <c r="D9" s="7">
        <v>1993</v>
      </c>
      <c r="E9" s="23">
        <v>281097</v>
      </c>
      <c r="F9" s="2" t="s">
        <v>96</v>
      </c>
      <c r="G9" s="7" t="s">
        <v>97</v>
      </c>
      <c r="H9" s="11">
        <v>11500000</v>
      </c>
      <c r="I9" s="11">
        <v>0</v>
      </c>
    </row>
    <row r="10" spans="1:9" ht="12.75">
      <c r="A10" s="4">
        <f>+A9+1</f>
        <v>2</v>
      </c>
      <c r="B10" s="4">
        <v>1606032</v>
      </c>
      <c r="C10" s="4" t="s">
        <v>93</v>
      </c>
      <c r="D10" s="12">
        <v>1996</v>
      </c>
      <c r="E10" s="24">
        <v>454032</v>
      </c>
      <c r="F10" s="4" t="s">
        <v>96</v>
      </c>
      <c r="G10" s="37" t="s">
        <v>98</v>
      </c>
      <c r="H10" s="5">
        <v>15300000</v>
      </c>
      <c r="I10" s="5">
        <v>0</v>
      </c>
    </row>
    <row r="11" spans="1:9" ht="12.75">
      <c r="A11" s="4">
        <v>2</v>
      </c>
      <c r="B11" s="72"/>
      <c r="C11" s="73" t="s">
        <v>306</v>
      </c>
      <c r="D11" s="12">
        <v>2008</v>
      </c>
      <c r="E11" s="24" t="s">
        <v>316</v>
      </c>
      <c r="F11" s="73" t="s">
        <v>96</v>
      </c>
      <c r="G11" s="74" t="s">
        <v>315</v>
      </c>
      <c r="H11" s="5">
        <v>100000000</v>
      </c>
      <c r="I11" s="5">
        <v>0</v>
      </c>
    </row>
    <row r="12" spans="1:9" ht="12.75">
      <c r="A12" s="4">
        <f>+A11+1</f>
        <v>3</v>
      </c>
      <c r="B12" s="4">
        <v>9006060</v>
      </c>
      <c r="C12" s="4" t="s">
        <v>94</v>
      </c>
      <c r="D12" s="12">
        <v>2002</v>
      </c>
      <c r="E12" s="24" t="s">
        <v>95</v>
      </c>
      <c r="F12" s="4" t="s">
        <v>96</v>
      </c>
      <c r="G12" s="37" t="s">
        <v>99</v>
      </c>
      <c r="H12" s="5">
        <f>75800000*0.9</f>
        <v>68220000</v>
      </c>
      <c r="I12" s="5">
        <v>0</v>
      </c>
    </row>
    <row r="13" spans="1:9" ht="12.75">
      <c r="A13" s="3">
        <v>3</v>
      </c>
      <c r="B13" s="3">
        <v>9817015</v>
      </c>
      <c r="C13" s="3" t="s">
        <v>126</v>
      </c>
      <c r="D13" s="8">
        <v>1995</v>
      </c>
      <c r="E13" s="25" t="s">
        <v>127</v>
      </c>
      <c r="F13" s="3" t="s">
        <v>112</v>
      </c>
      <c r="G13" s="84" t="s">
        <v>314</v>
      </c>
      <c r="H13" s="6">
        <v>2000000</v>
      </c>
      <c r="I13" s="6">
        <v>0</v>
      </c>
    </row>
    <row r="14" spans="1:9" ht="12.75">
      <c r="A14" s="13"/>
      <c r="B14" s="13"/>
      <c r="C14" s="13"/>
      <c r="D14" s="14"/>
      <c r="E14" s="13"/>
      <c r="F14" s="13"/>
      <c r="G14" s="15"/>
      <c r="H14" s="85" t="s">
        <v>313</v>
      </c>
      <c r="I14" s="6">
        <v>0</v>
      </c>
    </row>
    <row r="15" spans="1:9" ht="12.75">
      <c r="A15" t="s">
        <v>6</v>
      </c>
      <c r="H15" s="86" t="s">
        <v>311</v>
      </c>
      <c r="I15" s="9">
        <f>+I14*0.16</f>
        <v>0</v>
      </c>
    </row>
    <row r="16" spans="8:9" ht="12.75">
      <c r="H16" s="86" t="s">
        <v>312</v>
      </c>
      <c r="I16" s="9">
        <v>0</v>
      </c>
    </row>
    <row r="17" spans="1:2" ht="15.75">
      <c r="A17" s="92" t="s">
        <v>43</v>
      </c>
      <c r="B17" s="91"/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269</v>
      </c>
    </row>
    <row r="22" ht="12.75">
      <c r="A22" t="s">
        <v>268</v>
      </c>
    </row>
    <row r="23" spans="1:2" ht="12.75">
      <c r="A23" s="21" t="s">
        <v>100</v>
      </c>
      <c r="B23" s="21"/>
    </row>
    <row r="24" ht="12.75">
      <c r="A24" t="s">
        <v>101</v>
      </c>
    </row>
    <row r="25" ht="12.75">
      <c r="A25" t="s">
        <v>270</v>
      </c>
    </row>
    <row r="26" ht="12.75">
      <c r="A26" t="s">
        <v>271</v>
      </c>
    </row>
  </sheetData>
  <sheetProtection/>
  <mergeCells count="4">
    <mergeCell ref="B5:I5"/>
    <mergeCell ref="B1:I1"/>
    <mergeCell ref="B2:I2"/>
    <mergeCell ref="B3:I3"/>
  </mergeCells>
  <printOptions horizontalCentered="1" verticalCentered="1"/>
  <pageMargins left="0.46" right="0.49" top="0.5905511811023623" bottom="0.3937007874015748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1.28125" style="0" customWidth="1"/>
    <col min="2" max="2" width="20.7109375" style="0" customWidth="1"/>
    <col min="3" max="3" width="18.8515625" style="0" customWidth="1"/>
    <col min="4" max="4" width="17.421875" style="0" customWidth="1"/>
  </cols>
  <sheetData>
    <row r="1" spans="1:4" ht="15.75">
      <c r="A1" s="75" t="s">
        <v>307</v>
      </c>
      <c r="B1" s="75"/>
      <c r="C1" s="75"/>
      <c r="D1" s="75"/>
    </row>
    <row r="2" spans="1:4" ht="15.75">
      <c r="A2" s="75" t="s">
        <v>77</v>
      </c>
      <c r="B2" s="75"/>
      <c r="C2" s="75"/>
      <c r="D2" s="75"/>
    </row>
    <row r="3" spans="1:4" ht="15.75">
      <c r="A3" s="75" t="s">
        <v>309</v>
      </c>
      <c r="B3" s="75"/>
      <c r="C3" s="75"/>
      <c r="D3" s="75"/>
    </row>
    <row r="4" spans="1:4" ht="12.75">
      <c r="A4" s="39"/>
      <c r="B4" s="39"/>
      <c r="C4" s="39"/>
      <c r="D4" s="39"/>
    </row>
    <row r="5" spans="1:4" ht="12.75">
      <c r="A5" s="90" t="s">
        <v>116</v>
      </c>
      <c r="B5" s="90"/>
      <c r="C5" s="90"/>
      <c r="D5" s="90"/>
    </row>
    <row r="7" spans="1:4" ht="12.75">
      <c r="A7" s="77" t="s">
        <v>0</v>
      </c>
      <c r="B7" s="77" t="s">
        <v>1</v>
      </c>
      <c r="C7" s="77" t="s">
        <v>3</v>
      </c>
      <c r="D7" s="78" t="s">
        <v>4</v>
      </c>
    </row>
    <row r="8" spans="1:4" ht="12.75">
      <c r="A8" s="80"/>
      <c r="B8" s="80" t="s">
        <v>2</v>
      </c>
      <c r="C8" s="80"/>
      <c r="D8" s="83"/>
    </row>
    <row r="9" spans="1:4" ht="12.75">
      <c r="A9" s="2"/>
      <c r="B9" s="2"/>
      <c r="C9" s="2"/>
      <c r="D9" s="2"/>
    </row>
    <row r="10" spans="1:4" ht="12.75">
      <c r="A10" s="4" t="s">
        <v>5</v>
      </c>
      <c r="B10" s="4"/>
      <c r="C10" s="4" t="s">
        <v>16</v>
      </c>
      <c r="D10" s="4" t="s">
        <v>6</v>
      </c>
    </row>
    <row r="11" spans="1:4" ht="12.75">
      <c r="A11" s="4" t="s">
        <v>85</v>
      </c>
      <c r="B11" s="4"/>
      <c r="C11" s="4" t="s">
        <v>61</v>
      </c>
      <c r="D11" s="4" t="s">
        <v>6</v>
      </c>
    </row>
    <row r="12" spans="1:4" ht="12.75">
      <c r="A12" s="4"/>
      <c r="B12" s="4"/>
      <c r="C12" s="4" t="s">
        <v>62</v>
      </c>
      <c r="D12" s="4" t="s">
        <v>6</v>
      </c>
    </row>
    <row r="13" spans="1:4" ht="12.75">
      <c r="A13" s="4" t="s">
        <v>63</v>
      </c>
      <c r="B13" s="5">
        <v>20000000</v>
      </c>
      <c r="C13" s="4" t="s">
        <v>6</v>
      </c>
      <c r="D13" s="4" t="s">
        <v>6</v>
      </c>
    </row>
    <row r="14" spans="1:4" ht="12.75">
      <c r="A14" s="4" t="s">
        <v>64</v>
      </c>
      <c r="B14" s="5">
        <v>600000000</v>
      </c>
      <c r="C14" s="4" t="s">
        <v>6</v>
      </c>
      <c r="D14" s="4" t="s">
        <v>6</v>
      </c>
    </row>
    <row r="15" spans="1:4" ht="12.75">
      <c r="A15" s="4" t="s">
        <v>6</v>
      </c>
      <c r="B15" s="5" t="s">
        <v>6</v>
      </c>
      <c r="C15" s="4" t="s">
        <v>6</v>
      </c>
      <c r="D15" s="4" t="s">
        <v>6</v>
      </c>
    </row>
    <row r="16" spans="1:4" ht="12.75">
      <c r="A16" s="3" t="s">
        <v>6</v>
      </c>
      <c r="B16" s="6" t="s">
        <v>6</v>
      </c>
      <c r="C16" s="3" t="s">
        <v>6</v>
      </c>
      <c r="D16" s="3"/>
    </row>
    <row r="17" spans="3:4" ht="12.75">
      <c r="C17" s="86" t="s">
        <v>7</v>
      </c>
      <c r="D17" s="9">
        <v>0</v>
      </c>
    </row>
    <row r="18" spans="3:4" ht="12.75">
      <c r="C18" s="86" t="s">
        <v>8</v>
      </c>
      <c r="D18" s="9">
        <f>+D17*0.16</f>
        <v>0</v>
      </c>
    </row>
    <row r="19" spans="3:4" ht="12.75">
      <c r="C19" s="86" t="s">
        <v>9</v>
      </c>
      <c r="D19" s="9">
        <f>+D17+D18</f>
        <v>0</v>
      </c>
    </row>
    <row r="20" ht="15.75">
      <c r="A20" s="91" t="s">
        <v>10</v>
      </c>
    </row>
    <row r="21" ht="12.75">
      <c r="A21" t="s">
        <v>87</v>
      </c>
    </row>
    <row r="22" ht="12.75">
      <c r="A22" s="21" t="s">
        <v>88</v>
      </c>
    </row>
    <row r="23" ht="12.75">
      <c r="A23" t="s">
        <v>117</v>
      </c>
    </row>
  </sheetData>
  <sheetProtection/>
  <mergeCells count="4">
    <mergeCell ref="A1:D1"/>
    <mergeCell ref="A2:D2"/>
    <mergeCell ref="A3:D3"/>
    <mergeCell ref="A5:D5"/>
  </mergeCells>
  <printOptions horizontalCentered="1" verticalCentered="1"/>
  <pageMargins left="0.7874015748031497" right="0.5905511811023623" top="0.5511811023622047" bottom="0.1968503937007874" header="0" footer="0"/>
  <pageSetup fitToHeight="1" fitToWidth="1" orientation="landscape" r:id="rId1"/>
  <headerFooter alignWithMargins="0">
    <oddFooter>&amp;C&amp;D
ATTEP SEGUROS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8.57421875" style="0" customWidth="1"/>
    <col min="2" max="2" width="13.7109375" style="0" customWidth="1"/>
    <col min="3" max="3" width="32.00390625" style="0" customWidth="1"/>
    <col min="4" max="4" width="23.00390625" style="0" customWidth="1"/>
  </cols>
  <sheetData>
    <row r="1" spans="1:4" ht="15.75">
      <c r="A1" s="75" t="s">
        <v>307</v>
      </c>
      <c r="B1" s="75"/>
      <c r="C1" s="75"/>
      <c r="D1" s="75"/>
    </row>
    <row r="2" spans="1:4" ht="15.75">
      <c r="A2" s="75" t="s">
        <v>77</v>
      </c>
      <c r="B2" s="75"/>
      <c r="C2" s="75"/>
      <c r="D2" s="75"/>
    </row>
    <row r="3" spans="1:4" ht="15.75">
      <c r="A3" s="75" t="s">
        <v>309</v>
      </c>
      <c r="B3" s="75"/>
      <c r="C3" s="75"/>
      <c r="D3" s="75"/>
    </row>
    <row r="4" spans="1:4" ht="12.75">
      <c r="A4" s="39"/>
      <c r="B4" s="39"/>
      <c r="C4" s="39"/>
      <c r="D4" s="39"/>
    </row>
    <row r="5" spans="1:4" ht="12.75">
      <c r="A5" s="90" t="s">
        <v>118</v>
      </c>
      <c r="B5" s="90"/>
      <c r="C5" s="90"/>
      <c r="D5" s="90"/>
    </row>
    <row r="7" spans="1:4" ht="12.75">
      <c r="A7" s="77" t="s">
        <v>0</v>
      </c>
      <c r="B7" s="77" t="s">
        <v>1</v>
      </c>
      <c r="C7" s="77" t="s">
        <v>3</v>
      </c>
      <c r="D7" s="78" t="s">
        <v>4</v>
      </c>
    </row>
    <row r="8" spans="1:4" ht="12.75">
      <c r="A8" s="81"/>
      <c r="B8" s="80" t="s">
        <v>2</v>
      </c>
      <c r="C8" s="81"/>
      <c r="D8" s="82"/>
    </row>
    <row r="9" spans="1:4" ht="12.75">
      <c r="A9" s="2"/>
      <c r="B9" s="2"/>
      <c r="C9" s="2"/>
      <c r="D9" s="2"/>
    </row>
    <row r="10" spans="1:4" ht="12.75">
      <c r="A10" s="4" t="s">
        <v>5</v>
      </c>
      <c r="B10" s="4"/>
      <c r="C10" s="4" t="s">
        <v>69</v>
      </c>
      <c r="D10" s="4" t="s">
        <v>6</v>
      </c>
    </row>
    <row r="11" spans="1:4" ht="12.75">
      <c r="A11" s="4" t="s">
        <v>85</v>
      </c>
      <c r="B11" s="4"/>
      <c r="C11" s="4" t="s">
        <v>70</v>
      </c>
      <c r="D11" s="4"/>
    </row>
    <row r="12" spans="1:4" ht="12.75">
      <c r="A12" s="4"/>
      <c r="B12" s="4"/>
      <c r="C12" s="4" t="s">
        <v>71</v>
      </c>
      <c r="D12" s="4"/>
    </row>
    <row r="13" spans="1:4" ht="12.75">
      <c r="A13" s="4" t="s">
        <v>60</v>
      </c>
      <c r="B13" s="5">
        <v>80000000</v>
      </c>
      <c r="C13" s="4" t="s">
        <v>72</v>
      </c>
      <c r="D13" s="4"/>
    </row>
    <row r="14" spans="1:4" ht="12.75">
      <c r="A14" s="4" t="s">
        <v>113</v>
      </c>
      <c r="C14" s="4" t="s">
        <v>73</v>
      </c>
      <c r="D14" s="4" t="s">
        <v>6</v>
      </c>
    </row>
    <row r="15" spans="1:4" ht="12.75">
      <c r="A15" s="4" t="s">
        <v>218</v>
      </c>
      <c r="B15" s="5" t="s">
        <v>6</v>
      </c>
      <c r="C15" s="19" t="s">
        <v>132</v>
      </c>
      <c r="D15" s="4"/>
    </row>
    <row r="16" spans="1:6" ht="12.75">
      <c r="A16" s="3" t="s">
        <v>6</v>
      </c>
      <c r="B16" s="6" t="s">
        <v>6</v>
      </c>
      <c r="C16" s="3" t="s">
        <v>6</v>
      </c>
      <c r="D16" s="3"/>
      <c r="F16" t="s">
        <v>6</v>
      </c>
    </row>
    <row r="17" spans="3:6" ht="12.75">
      <c r="C17" s="86" t="s">
        <v>7</v>
      </c>
      <c r="D17" s="9">
        <v>0</v>
      </c>
      <c r="F17" t="s">
        <v>6</v>
      </c>
    </row>
    <row r="18" spans="3:4" ht="12.75">
      <c r="C18" s="86" t="s">
        <v>8</v>
      </c>
      <c r="D18" s="9">
        <f>+D17*0.16</f>
        <v>0</v>
      </c>
    </row>
    <row r="19" spans="3:4" ht="12.75">
      <c r="C19" s="86" t="s">
        <v>9</v>
      </c>
      <c r="D19" s="9">
        <f>+D17+D18</f>
        <v>0</v>
      </c>
    </row>
    <row r="21" ht="15.75">
      <c r="A21" s="91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272</v>
      </c>
    </row>
    <row r="26" ht="12.75">
      <c r="A26" t="s">
        <v>86</v>
      </c>
    </row>
    <row r="27" ht="12.75">
      <c r="A27" t="s">
        <v>67</v>
      </c>
    </row>
    <row r="28" ht="12.75">
      <c r="A28" t="s">
        <v>119</v>
      </c>
    </row>
  </sheetData>
  <sheetProtection/>
  <mergeCells count="4">
    <mergeCell ref="A1:D1"/>
    <mergeCell ref="A2:D2"/>
    <mergeCell ref="A3:D3"/>
    <mergeCell ref="A5:D5"/>
  </mergeCells>
  <printOptions horizontalCentered="1" verticalCentered="1"/>
  <pageMargins left="0.49" right="0.48" top="0.61" bottom="0.5905511811023623" header="0" footer="0"/>
  <pageSetup fitToHeight="1" fitToWidth="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1.00390625" style="0" customWidth="1"/>
    <col min="2" max="2" width="18.8515625" style="0" customWidth="1"/>
    <col min="3" max="3" width="17.8515625" style="0" customWidth="1"/>
    <col min="4" max="4" width="15.00390625" style="0" customWidth="1"/>
  </cols>
  <sheetData>
    <row r="1" spans="1:4" ht="15.75">
      <c r="A1" s="75" t="s">
        <v>307</v>
      </c>
      <c r="B1" s="75"/>
      <c r="C1" s="75"/>
      <c r="D1" s="75"/>
    </row>
    <row r="2" spans="1:4" ht="15.75">
      <c r="A2" s="75" t="s">
        <v>77</v>
      </c>
      <c r="B2" s="75"/>
      <c r="C2" s="75"/>
      <c r="D2" s="75"/>
    </row>
    <row r="3" spans="1:4" ht="15.75">
      <c r="A3" s="75" t="s">
        <v>309</v>
      </c>
      <c r="B3" s="75"/>
      <c r="C3" s="75"/>
      <c r="D3" s="75"/>
    </row>
    <row r="4" spans="1:4" ht="12.75">
      <c r="A4" s="39"/>
      <c r="B4" s="39"/>
      <c r="C4" s="39"/>
      <c r="D4" s="39"/>
    </row>
    <row r="5" spans="1:4" ht="12.75">
      <c r="A5" s="90" t="s">
        <v>124</v>
      </c>
      <c r="B5" s="90"/>
      <c r="C5" s="90"/>
      <c r="D5" s="90"/>
    </row>
    <row r="7" spans="1:4" ht="12.75">
      <c r="A7" s="77" t="s">
        <v>0</v>
      </c>
      <c r="B7" s="77" t="s">
        <v>1</v>
      </c>
      <c r="C7" s="77" t="s">
        <v>3</v>
      </c>
      <c r="D7" s="78" t="s">
        <v>4</v>
      </c>
    </row>
    <row r="8" spans="1:4" ht="12.75">
      <c r="A8" s="81"/>
      <c r="B8" s="80" t="s">
        <v>2</v>
      </c>
      <c r="C8" s="81"/>
      <c r="D8" s="82"/>
    </row>
    <row r="9" spans="1:4" ht="12.75">
      <c r="A9" s="2"/>
      <c r="B9" s="2"/>
      <c r="C9" s="2"/>
      <c r="D9" s="2"/>
    </row>
    <row r="10" spans="1:4" ht="12.75">
      <c r="A10" s="4" t="s">
        <v>5</v>
      </c>
      <c r="B10" s="4"/>
      <c r="C10" s="4" t="s">
        <v>16</v>
      </c>
      <c r="D10" s="4" t="s">
        <v>6</v>
      </c>
    </row>
    <row r="11" spans="1:4" ht="12.75">
      <c r="A11" s="4" t="s">
        <v>85</v>
      </c>
      <c r="B11" s="4"/>
      <c r="C11" s="4" t="s">
        <v>61</v>
      </c>
      <c r="D11" s="4" t="s">
        <v>6</v>
      </c>
    </row>
    <row r="12" spans="1:4" ht="12.75">
      <c r="A12" s="4"/>
      <c r="B12" s="4"/>
      <c r="C12" s="4" t="s">
        <v>62</v>
      </c>
      <c r="D12" s="4" t="s">
        <v>6</v>
      </c>
    </row>
    <row r="13" spans="1:4" ht="12.75">
      <c r="A13" s="4" t="s">
        <v>63</v>
      </c>
      <c r="B13" s="5">
        <v>20000000</v>
      </c>
      <c r="C13" s="4" t="s">
        <v>6</v>
      </c>
      <c r="D13" s="4" t="s">
        <v>6</v>
      </c>
    </row>
    <row r="14" spans="1:4" ht="12.75">
      <c r="A14" s="4" t="s">
        <v>64</v>
      </c>
      <c r="B14" s="5">
        <v>200000000</v>
      </c>
      <c r="C14" s="4" t="s">
        <v>6</v>
      </c>
      <c r="D14" s="4" t="s">
        <v>6</v>
      </c>
    </row>
    <row r="15" spans="1:4" ht="12.75">
      <c r="A15" s="4" t="s">
        <v>6</v>
      </c>
      <c r="B15" s="5" t="s">
        <v>6</v>
      </c>
      <c r="C15" s="4" t="s">
        <v>6</v>
      </c>
      <c r="D15" s="4" t="s">
        <v>6</v>
      </c>
    </row>
    <row r="16" spans="1:4" ht="12.75">
      <c r="A16" s="3" t="s">
        <v>6</v>
      </c>
      <c r="B16" s="6" t="s">
        <v>6</v>
      </c>
      <c r="C16" s="3" t="s">
        <v>6</v>
      </c>
      <c r="D16" s="3"/>
    </row>
    <row r="17" spans="3:4" ht="12.75">
      <c r="C17" s="86" t="s">
        <v>7</v>
      </c>
      <c r="D17" s="9">
        <v>0</v>
      </c>
    </row>
    <row r="18" spans="3:4" ht="12.75">
      <c r="C18" s="86" t="s">
        <v>8</v>
      </c>
      <c r="D18" s="9">
        <f>+D17*0.16</f>
        <v>0</v>
      </c>
    </row>
    <row r="19" spans="3:4" ht="12.75">
      <c r="C19" s="86" t="s">
        <v>9</v>
      </c>
      <c r="D19" s="9">
        <f>+D17+D18</f>
        <v>0</v>
      </c>
    </row>
    <row r="20" ht="15.75">
      <c r="A20" s="91" t="s">
        <v>10</v>
      </c>
    </row>
    <row r="21" ht="12.75">
      <c r="A21" t="s">
        <v>87</v>
      </c>
    </row>
    <row r="22" ht="12.75">
      <c r="A22" t="s">
        <v>102</v>
      </c>
    </row>
    <row r="23" ht="12.75">
      <c r="A23" t="s">
        <v>273</v>
      </c>
    </row>
  </sheetData>
  <sheetProtection/>
  <mergeCells count="4">
    <mergeCell ref="A2:D2"/>
    <mergeCell ref="A3:D3"/>
    <mergeCell ref="A5:D5"/>
    <mergeCell ref="A1:D1"/>
  </mergeCells>
  <printOptions horizontalCentered="1" verticalCentered="1"/>
  <pageMargins left="0.7874015748031497" right="0.5905511811023623" top="0.7874015748031497" bottom="0.3937007874015748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43.57421875" style="0" customWidth="1"/>
    <col min="2" max="2" width="27.00390625" style="0" customWidth="1"/>
    <col min="3" max="3" width="31.421875" style="0" customWidth="1"/>
    <col min="4" max="4" width="7.28125" style="0" customWidth="1"/>
    <col min="5" max="5" width="15.421875" style="0" bestFit="1" customWidth="1"/>
    <col min="6" max="6" width="6.57421875" style="0" customWidth="1"/>
    <col min="7" max="7" width="36.28125" style="0" customWidth="1"/>
  </cols>
  <sheetData>
    <row r="1" spans="1:3" ht="15.75">
      <c r="A1" s="75" t="s">
        <v>307</v>
      </c>
      <c r="B1" s="75"/>
      <c r="C1" s="75"/>
    </row>
    <row r="2" spans="1:3" ht="15.75">
      <c r="A2" s="75" t="s">
        <v>77</v>
      </c>
      <c r="B2" s="75"/>
      <c r="C2" s="75"/>
    </row>
    <row r="3" spans="1:3" ht="15.75">
      <c r="A3" s="75" t="s">
        <v>309</v>
      </c>
      <c r="B3" s="75"/>
      <c r="C3" s="75"/>
    </row>
    <row r="4" spans="1:3" ht="12.75">
      <c r="A4" s="40"/>
      <c r="B4" s="40"/>
      <c r="C4" s="40"/>
    </row>
    <row r="5" spans="1:3" ht="12.75">
      <c r="A5" s="90" t="s">
        <v>103</v>
      </c>
      <c r="B5" s="90"/>
      <c r="C5" s="90"/>
    </row>
    <row r="7" spans="1:3" ht="12.75">
      <c r="A7" s="77" t="s">
        <v>0</v>
      </c>
      <c r="B7" s="77" t="s">
        <v>1</v>
      </c>
      <c r="C7" s="77" t="s">
        <v>3</v>
      </c>
    </row>
    <row r="8" spans="1:3" ht="12.75">
      <c r="A8" s="81"/>
      <c r="B8" s="80" t="s">
        <v>2</v>
      </c>
      <c r="C8" s="81"/>
    </row>
    <row r="9" spans="1:3" ht="12.75">
      <c r="A9" s="2"/>
      <c r="B9" s="2"/>
      <c r="C9" s="2"/>
    </row>
    <row r="10" spans="1:3" ht="12.75">
      <c r="A10" s="4" t="s">
        <v>104</v>
      </c>
      <c r="B10" s="5">
        <v>20000000</v>
      </c>
      <c r="C10" s="4" t="s">
        <v>317</v>
      </c>
    </row>
    <row r="11" spans="1:3" ht="12.75">
      <c r="A11" s="4" t="s">
        <v>105</v>
      </c>
      <c r="B11" s="5">
        <f>+B10</f>
        <v>20000000</v>
      </c>
      <c r="C11" s="4"/>
    </row>
    <row r="12" spans="1:3" ht="12.75">
      <c r="A12" s="4" t="s">
        <v>106</v>
      </c>
      <c r="B12" s="5" t="s">
        <v>6</v>
      </c>
      <c r="C12" s="4"/>
    </row>
    <row r="13" spans="1:3" ht="12.75">
      <c r="A13" s="4" t="s">
        <v>107</v>
      </c>
      <c r="B13" s="5">
        <f>+B10</f>
        <v>20000000</v>
      </c>
      <c r="C13" s="4" t="s">
        <v>6</v>
      </c>
    </row>
    <row r="14" spans="1:3" ht="12.75">
      <c r="A14" s="4" t="s">
        <v>108</v>
      </c>
      <c r="B14" s="5">
        <f>+B10</f>
        <v>20000000</v>
      </c>
      <c r="C14" s="4" t="s">
        <v>6</v>
      </c>
    </row>
    <row r="15" spans="1:3" ht="12.75">
      <c r="A15" s="4" t="s">
        <v>267</v>
      </c>
      <c r="B15" s="5">
        <f>+B10/2</f>
        <v>10000000</v>
      </c>
      <c r="C15" s="4" t="s">
        <v>6</v>
      </c>
    </row>
    <row r="16" spans="1:3" ht="12.75">
      <c r="A16" s="4" t="s">
        <v>274</v>
      </c>
      <c r="B16" s="5">
        <f>+B10*0.1</f>
        <v>2000000</v>
      </c>
      <c r="C16" s="4"/>
    </row>
    <row r="17" spans="1:3" ht="12.75">
      <c r="A17" s="4" t="s">
        <v>275</v>
      </c>
      <c r="B17" s="38" t="s">
        <v>280</v>
      </c>
      <c r="C17" s="4"/>
    </row>
    <row r="18" spans="1:3" ht="12.75">
      <c r="A18" s="3" t="s">
        <v>6</v>
      </c>
      <c r="B18" s="6" t="s">
        <v>276</v>
      </c>
      <c r="C18" s="3" t="s">
        <v>6</v>
      </c>
    </row>
    <row r="19" ht="12.75">
      <c r="C19" s="22" t="s">
        <v>6</v>
      </c>
    </row>
    <row r="20" spans="1:3" ht="15.75">
      <c r="A20" s="91" t="s">
        <v>74</v>
      </c>
      <c r="C20" s="10" t="s">
        <v>6</v>
      </c>
    </row>
    <row r="21" ht="12.75">
      <c r="C21" s="10" t="s">
        <v>6</v>
      </c>
    </row>
    <row r="22" ht="12.75">
      <c r="A22" t="s">
        <v>109</v>
      </c>
    </row>
    <row r="23" ht="12.75">
      <c r="A23" t="s">
        <v>110</v>
      </c>
    </row>
    <row r="24" ht="12.75">
      <c r="A24" t="s">
        <v>111</v>
      </c>
    </row>
    <row r="25" ht="12.75">
      <c r="A25" t="s">
        <v>123</v>
      </c>
    </row>
    <row r="26" ht="12.75">
      <c r="A26" t="s">
        <v>277</v>
      </c>
    </row>
    <row r="56" spans="5:7" ht="12.75">
      <c r="E56" s="1"/>
      <c r="F56" s="1"/>
      <c r="G56" s="1"/>
    </row>
  </sheetData>
  <sheetProtection/>
  <mergeCells count="5">
    <mergeCell ref="A5:C5"/>
    <mergeCell ref="A1:C1"/>
    <mergeCell ref="A2:C2"/>
    <mergeCell ref="A3:C3"/>
    <mergeCell ref="A4:C4"/>
  </mergeCells>
  <printOptions horizontalCentered="1" verticalCentered="1"/>
  <pageMargins left="0.5511811023622047" right="0.5511811023622047" top="0.7480314960629921" bottom="0.5905511811023623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2.7109375" style="0" customWidth="1"/>
    <col min="2" max="2" width="15.140625" style="0" customWidth="1"/>
    <col min="3" max="3" width="28.140625" style="0" bestFit="1" customWidth="1"/>
    <col min="4" max="4" width="21.140625" style="0" customWidth="1"/>
  </cols>
  <sheetData>
    <row r="1" spans="1:4" ht="15.75">
      <c r="A1" s="75" t="s">
        <v>307</v>
      </c>
      <c r="B1" s="75"/>
      <c r="C1" s="75"/>
      <c r="D1" s="75"/>
    </row>
    <row r="2" spans="1:4" ht="15.75">
      <c r="A2" s="75" t="s">
        <v>77</v>
      </c>
      <c r="B2" s="75"/>
      <c r="C2" s="75"/>
      <c r="D2" s="75"/>
    </row>
    <row r="3" spans="1:4" ht="15.75">
      <c r="A3" s="75" t="s">
        <v>309</v>
      </c>
      <c r="B3" s="75"/>
      <c r="C3" s="75"/>
      <c r="D3" s="75"/>
    </row>
    <row r="4" spans="1:4" ht="12.75">
      <c r="A4" s="39"/>
      <c r="B4" s="39"/>
      <c r="C4" s="39"/>
      <c r="D4" s="39"/>
    </row>
    <row r="5" spans="1:4" ht="12.75">
      <c r="A5" s="90" t="s">
        <v>122</v>
      </c>
      <c r="B5" s="90"/>
      <c r="C5" s="90"/>
      <c r="D5" s="90"/>
    </row>
    <row r="7" spans="1:4" ht="12.75">
      <c r="A7" s="77" t="s">
        <v>0</v>
      </c>
      <c r="B7" s="77" t="s">
        <v>1</v>
      </c>
      <c r="C7" s="77" t="s">
        <v>3</v>
      </c>
      <c r="D7" s="78" t="s">
        <v>4</v>
      </c>
    </row>
    <row r="8" spans="1:4" ht="12.75">
      <c r="A8" s="81"/>
      <c r="B8" s="80" t="s">
        <v>2</v>
      </c>
      <c r="C8" s="81"/>
      <c r="D8" s="82"/>
    </row>
    <row r="9" spans="1:4" ht="12.75">
      <c r="A9" s="2"/>
      <c r="B9" s="2"/>
      <c r="C9" s="2"/>
      <c r="D9" s="2"/>
    </row>
    <row r="10" spans="1:4" ht="12.75">
      <c r="A10" s="4" t="s">
        <v>51</v>
      </c>
      <c r="B10" s="5">
        <v>600000000</v>
      </c>
      <c r="C10" s="4" t="s">
        <v>17</v>
      </c>
      <c r="D10" s="4" t="s">
        <v>6</v>
      </c>
    </row>
    <row r="11" spans="1:4" ht="12.75">
      <c r="A11" s="4" t="s">
        <v>6</v>
      </c>
      <c r="B11" s="4"/>
      <c r="C11" s="4" t="s">
        <v>18</v>
      </c>
      <c r="D11" s="4"/>
    </row>
    <row r="12" spans="1:4" ht="12.75">
      <c r="A12" s="20" t="s">
        <v>55</v>
      </c>
      <c r="B12" s="2"/>
      <c r="C12" s="4" t="s">
        <v>19</v>
      </c>
      <c r="D12" s="4"/>
    </row>
    <row r="13" spans="1:4" ht="12.75">
      <c r="A13" s="4" t="s">
        <v>281</v>
      </c>
      <c r="B13" s="5"/>
      <c r="C13" s="4" t="s">
        <v>20</v>
      </c>
      <c r="D13" s="4"/>
    </row>
    <row r="14" spans="1:4" ht="12.75">
      <c r="A14" s="4" t="s">
        <v>56</v>
      </c>
      <c r="B14" s="17"/>
      <c r="C14" s="4" t="s">
        <v>287</v>
      </c>
      <c r="D14" s="4"/>
    </row>
    <row r="15" spans="1:4" ht="12.75">
      <c r="A15" s="4" t="s">
        <v>57</v>
      </c>
      <c r="B15" s="5"/>
      <c r="C15" s="4" t="s">
        <v>288</v>
      </c>
      <c r="D15" s="4"/>
    </row>
    <row r="16" spans="1:4" ht="12.75">
      <c r="A16" s="4" t="s">
        <v>58</v>
      </c>
      <c r="B16" s="5"/>
      <c r="C16" s="4" t="s">
        <v>21</v>
      </c>
      <c r="D16" s="4" t="s">
        <v>6</v>
      </c>
    </row>
    <row r="17" spans="1:4" ht="12.75">
      <c r="A17" s="3"/>
      <c r="B17" s="6"/>
      <c r="C17" s="4" t="s">
        <v>22</v>
      </c>
      <c r="D17" s="4"/>
    </row>
    <row r="18" spans="1:4" ht="12.75">
      <c r="A18" s="4"/>
      <c r="B18" s="5"/>
      <c r="C18" s="4" t="s">
        <v>23</v>
      </c>
      <c r="D18" s="4"/>
    </row>
    <row r="19" spans="1:4" ht="12.75">
      <c r="A19" s="18"/>
      <c r="B19" s="11"/>
      <c r="C19" s="4" t="s">
        <v>24</v>
      </c>
      <c r="D19" s="4"/>
    </row>
    <row r="20" spans="1:4" ht="12.75">
      <c r="A20" s="4"/>
      <c r="B20" s="5"/>
      <c r="C20" s="4" t="s">
        <v>25</v>
      </c>
      <c r="D20" s="4"/>
    </row>
    <row r="21" spans="1:4" ht="12.75">
      <c r="A21" s="4"/>
      <c r="B21" s="5"/>
      <c r="C21" s="4" t="s">
        <v>26</v>
      </c>
      <c r="D21" s="4"/>
    </row>
    <row r="22" spans="1:4" ht="12.75">
      <c r="A22" s="3"/>
      <c r="B22" s="6"/>
      <c r="C22" s="4" t="s">
        <v>27</v>
      </c>
      <c r="D22" s="4"/>
    </row>
    <row r="23" spans="1:4" ht="12.75">
      <c r="A23" s="4"/>
      <c r="B23" s="5"/>
      <c r="C23" s="4" t="s">
        <v>28</v>
      </c>
      <c r="D23" s="4"/>
    </row>
    <row r="24" spans="1:4" ht="12.75">
      <c r="A24" s="18"/>
      <c r="B24" s="11"/>
      <c r="C24" s="4" t="s">
        <v>29</v>
      </c>
      <c r="D24" s="4"/>
    </row>
    <row r="25" spans="1:4" ht="12.75">
      <c r="A25" s="4"/>
      <c r="B25" s="5"/>
      <c r="C25" s="4" t="s">
        <v>30</v>
      </c>
      <c r="D25" s="4"/>
    </row>
    <row r="26" spans="1:4" ht="12.75">
      <c r="A26" s="4"/>
      <c r="B26" s="5"/>
      <c r="C26" s="4" t="s">
        <v>31</v>
      </c>
      <c r="D26" s="4"/>
    </row>
    <row r="27" spans="1:4" ht="12.75">
      <c r="A27" s="4"/>
      <c r="B27" s="5"/>
      <c r="C27" s="4" t="s">
        <v>89</v>
      </c>
      <c r="D27" s="4"/>
    </row>
    <row r="28" spans="1:4" ht="12.75">
      <c r="A28" s="4"/>
      <c r="B28" s="5"/>
      <c r="C28" s="4" t="s">
        <v>91</v>
      </c>
      <c r="D28" s="4"/>
    </row>
    <row r="29" spans="1:4" ht="12.75">
      <c r="A29" s="4"/>
      <c r="B29" s="5"/>
      <c r="C29" s="4" t="s">
        <v>289</v>
      </c>
      <c r="D29" s="4"/>
    </row>
    <row r="30" spans="1:4" ht="12.75">
      <c r="A30" s="3"/>
      <c r="B30" s="6"/>
      <c r="C30" s="4" t="s">
        <v>90</v>
      </c>
      <c r="D30" s="4"/>
    </row>
    <row r="31" spans="1:4" ht="12.75">
      <c r="A31" s="4"/>
      <c r="B31" s="5"/>
      <c r="C31" s="4" t="s">
        <v>54</v>
      </c>
      <c r="D31" s="4" t="s">
        <v>6</v>
      </c>
    </row>
    <row r="32" spans="1:4" ht="12.75">
      <c r="A32" s="4"/>
      <c r="B32" s="5">
        <v>10000000</v>
      </c>
      <c r="C32" s="4" t="s">
        <v>290</v>
      </c>
      <c r="D32" s="4"/>
    </row>
    <row r="33" spans="1:4" ht="12.75">
      <c r="A33" s="4"/>
      <c r="B33" s="5">
        <v>40000000</v>
      </c>
      <c r="C33" s="4" t="s">
        <v>291</v>
      </c>
      <c r="D33" s="4"/>
    </row>
    <row r="34" spans="1:4" ht="12.75">
      <c r="A34" s="18"/>
      <c r="B34" s="5"/>
      <c r="C34" s="4" t="s">
        <v>32</v>
      </c>
      <c r="D34" s="4"/>
    </row>
    <row r="35" spans="1:4" ht="12.75">
      <c r="A35" s="4"/>
      <c r="B35" s="5">
        <v>2000000</v>
      </c>
      <c r="C35" s="4" t="s">
        <v>290</v>
      </c>
      <c r="D35" s="4"/>
    </row>
    <row r="36" spans="1:4" ht="12.75">
      <c r="A36" s="4"/>
      <c r="B36" s="5">
        <v>20000000</v>
      </c>
      <c r="C36" s="4" t="s">
        <v>291</v>
      </c>
      <c r="D36" s="4" t="s">
        <v>6</v>
      </c>
    </row>
    <row r="37" spans="1:4" ht="12.75">
      <c r="A37" s="3"/>
      <c r="B37" s="5"/>
      <c r="C37" s="4" t="s">
        <v>33</v>
      </c>
      <c r="D37" s="4" t="s">
        <v>6</v>
      </c>
    </row>
    <row r="38" spans="1:4" ht="12.75">
      <c r="A38" s="4"/>
      <c r="B38" s="5">
        <v>50000000</v>
      </c>
      <c r="C38" s="4" t="s">
        <v>290</v>
      </c>
      <c r="D38" s="4" t="s">
        <v>6</v>
      </c>
    </row>
    <row r="39" spans="1:4" ht="12.75">
      <c r="A39" s="16"/>
      <c r="B39" s="5">
        <v>300000000</v>
      </c>
      <c r="C39" s="4" t="s">
        <v>291</v>
      </c>
      <c r="D39" s="4"/>
    </row>
    <row r="40" spans="1:4" ht="12.75">
      <c r="A40" s="4"/>
      <c r="B40" s="5"/>
      <c r="C40" s="4" t="s">
        <v>34</v>
      </c>
      <c r="D40" s="4"/>
    </row>
    <row r="41" spans="1:4" ht="12.75">
      <c r="A41" s="4"/>
      <c r="B41" s="5">
        <v>50000000</v>
      </c>
      <c r="C41" s="4" t="s">
        <v>290</v>
      </c>
      <c r="D41" s="4"/>
    </row>
    <row r="42" spans="1:4" ht="12.75">
      <c r="A42" s="4"/>
      <c r="B42" s="5">
        <v>300000000</v>
      </c>
      <c r="C42" s="4" t="s">
        <v>291</v>
      </c>
      <c r="D42" s="4"/>
    </row>
    <row r="43" spans="1:4" ht="12.75">
      <c r="A43" s="4"/>
      <c r="B43" s="5"/>
      <c r="C43" s="4" t="s">
        <v>52</v>
      </c>
      <c r="D43" s="4"/>
    </row>
    <row r="44" spans="1:4" ht="12.75">
      <c r="A44" s="4"/>
      <c r="B44" s="5">
        <v>50000000</v>
      </c>
      <c r="C44" s="4" t="s">
        <v>290</v>
      </c>
      <c r="D44" s="4"/>
    </row>
    <row r="45" spans="1:4" ht="12.75">
      <c r="A45" s="4"/>
      <c r="B45" s="5">
        <v>150000000</v>
      </c>
      <c r="C45" s="4" t="s">
        <v>291</v>
      </c>
      <c r="D45" s="4"/>
    </row>
    <row r="46" spans="1:4" ht="12.75">
      <c r="A46" s="4"/>
      <c r="B46" s="5"/>
      <c r="C46" s="4" t="s">
        <v>53</v>
      </c>
      <c r="D46" s="4"/>
    </row>
    <row r="47" spans="1:4" ht="12.75">
      <c r="A47" s="3"/>
      <c r="B47" s="6">
        <v>600000000</v>
      </c>
      <c r="C47" s="3" t="s">
        <v>59</v>
      </c>
      <c r="D47" s="3"/>
    </row>
    <row r="48" spans="2:4" ht="12.75">
      <c r="B48" s="89">
        <f>+B47</f>
        <v>600000000</v>
      </c>
      <c r="C48" s="86" t="s">
        <v>7</v>
      </c>
      <c r="D48" s="9">
        <v>0</v>
      </c>
    </row>
    <row r="49" spans="2:4" ht="12.75">
      <c r="B49" s="1"/>
      <c r="C49" s="86" t="s">
        <v>8</v>
      </c>
      <c r="D49" s="9">
        <f>+D48*0.16</f>
        <v>0</v>
      </c>
    </row>
    <row r="50" spans="2:4" ht="12.75">
      <c r="B50" s="1"/>
      <c r="C50" s="86" t="s">
        <v>9</v>
      </c>
      <c r="D50" s="9">
        <f>+D48+D49</f>
        <v>0</v>
      </c>
    </row>
    <row r="51" ht="12.75">
      <c r="B51" s="1"/>
    </row>
    <row r="52" ht="15.75">
      <c r="A52" s="91" t="s">
        <v>10</v>
      </c>
    </row>
    <row r="53" ht="12.75">
      <c r="A53" t="s">
        <v>15</v>
      </c>
    </row>
    <row r="54" ht="12.75">
      <c r="A54" t="s">
        <v>35</v>
      </c>
    </row>
    <row r="55" ht="12.75">
      <c r="A55" t="s">
        <v>67</v>
      </c>
    </row>
    <row r="56" ht="12.75">
      <c r="A56" t="s">
        <v>278</v>
      </c>
    </row>
  </sheetData>
  <sheetProtection/>
  <mergeCells count="4">
    <mergeCell ref="A1:D1"/>
    <mergeCell ref="A2:D2"/>
    <mergeCell ref="A3:D3"/>
    <mergeCell ref="A5:D5"/>
  </mergeCells>
  <printOptions horizontalCentered="1" verticalCentered="1"/>
  <pageMargins left="0.4330708661417323" right="0.4330708661417323" top="0.47" bottom="0.5905511811023623" header="0" footer="0"/>
  <pageSetup fitToHeight="1" fitToWidth="1" orientation="portrait" r:id="rId1"/>
  <headerFooter alignWithMargins="0">
    <oddFooter>&amp;R&amp;D
ATTEP SEGUROS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7"/>
  <sheetViews>
    <sheetView tabSelected="1" zoomScalePageLayoutView="0" workbookViewId="0" topLeftCell="A4">
      <selection activeCell="C27" sqref="C27"/>
    </sheetView>
  </sheetViews>
  <sheetFormatPr defaultColWidth="11.421875" defaultRowHeight="12.75"/>
  <cols>
    <col min="1" max="1" width="14.28125" style="0" customWidth="1"/>
    <col min="2" max="2" width="43.8515625" style="0" customWidth="1"/>
    <col min="3" max="3" width="19.00390625" style="0" customWidth="1"/>
  </cols>
  <sheetData>
    <row r="1" spans="1:96" ht="15.75">
      <c r="A1" s="94" t="s">
        <v>307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</row>
    <row r="2" spans="1:96" ht="15.75">
      <c r="A2" s="94" t="s">
        <v>77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</row>
    <row r="3" spans="1:96" ht="15.75">
      <c r="A3" s="94" t="s">
        <v>309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</row>
    <row r="4" spans="1:96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</row>
    <row r="5" spans="1:96" ht="12.75">
      <c r="A5" s="95" t="s">
        <v>122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</row>
    <row r="7" spans="1:3" ht="25.5">
      <c r="A7" s="96" t="s">
        <v>337</v>
      </c>
      <c r="B7" s="96" t="s">
        <v>336</v>
      </c>
      <c r="C7" s="97" t="s">
        <v>338</v>
      </c>
    </row>
    <row r="8" spans="1:3" ht="17.25" customHeight="1">
      <c r="A8" s="99">
        <v>24549443</v>
      </c>
      <c r="B8" s="99" t="s">
        <v>318</v>
      </c>
      <c r="C8" s="100">
        <v>25993</v>
      </c>
    </row>
    <row r="9" spans="1:3" ht="17.25" customHeight="1">
      <c r="A9" s="99">
        <v>24549146</v>
      </c>
      <c r="B9" s="99" t="s">
        <v>319</v>
      </c>
      <c r="C9" s="100">
        <v>25532</v>
      </c>
    </row>
    <row r="10" spans="1:3" ht="17.25" customHeight="1">
      <c r="A10" s="99">
        <v>24550768</v>
      </c>
      <c r="B10" s="99" t="s">
        <v>320</v>
      </c>
      <c r="C10" s="100">
        <v>28057</v>
      </c>
    </row>
    <row r="11" spans="1:3" ht="17.25" customHeight="1">
      <c r="A11" s="99">
        <v>24548771</v>
      </c>
      <c r="B11" s="99" t="s">
        <v>321</v>
      </c>
      <c r="C11" s="100">
        <v>25144</v>
      </c>
    </row>
    <row r="12" spans="1:3" ht="17.25" customHeight="1">
      <c r="A12" s="99">
        <v>24548931</v>
      </c>
      <c r="B12" s="99" t="s">
        <v>322</v>
      </c>
      <c r="C12" s="100">
        <v>25366</v>
      </c>
    </row>
    <row r="13" spans="1:3" ht="17.25" customHeight="1">
      <c r="A13" s="99">
        <v>4390616</v>
      </c>
      <c r="B13" s="99" t="s">
        <v>323</v>
      </c>
      <c r="C13" s="100">
        <v>18982</v>
      </c>
    </row>
    <row r="14" spans="1:3" ht="17.25" customHeight="1">
      <c r="A14" s="99">
        <v>24547596</v>
      </c>
      <c r="B14" s="99" t="s">
        <v>324</v>
      </c>
      <c r="C14" s="100">
        <v>23004</v>
      </c>
    </row>
    <row r="15" spans="1:3" ht="17.25" customHeight="1">
      <c r="A15" s="99">
        <v>45479177</v>
      </c>
      <c r="B15" s="99" t="s">
        <v>325</v>
      </c>
      <c r="C15" s="100">
        <v>24943</v>
      </c>
    </row>
    <row r="16" spans="1:3" ht="17.25" customHeight="1">
      <c r="A16" s="99">
        <v>66870333</v>
      </c>
      <c r="B16" s="99" t="s">
        <v>326</v>
      </c>
      <c r="C16" s="100">
        <v>26302</v>
      </c>
    </row>
    <row r="17" spans="1:3" ht="17.25" customHeight="1">
      <c r="A17" s="99">
        <v>24545833</v>
      </c>
      <c r="B17" s="99" t="s">
        <v>327</v>
      </c>
      <c r="C17" s="100">
        <v>21419</v>
      </c>
    </row>
    <row r="18" spans="1:3" ht="17.25" customHeight="1">
      <c r="A18" s="99">
        <v>24999193</v>
      </c>
      <c r="B18" s="99" t="s">
        <v>328</v>
      </c>
      <c r="C18" s="100">
        <v>20763</v>
      </c>
    </row>
    <row r="19" spans="1:3" ht="17.25" customHeight="1">
      <c r="A19" s="99">
        <v>24511300</v>
      </c>
      <c r="B19" s="99" t="s">
        <v>329</v>
      </c>
      <c r="C19" s="100">
        <v>23149</v>
      </c>
    </row>
    <row r="20" spans="1:3" ht="17.25" customHeight="1">
      <c r="A20" s="99">
        <v>24549903</v>
      </c>
      <c r="B20" s="99" t="s">
        <v>330</v>
      </c>
      <c r="C20" s="100">
        <v>26680</v>
      </c>
    </row>
    <row r="21" spans="1:3" ht="17.25" customHeight="1">
      <c r="A21" s="99">
        <v>24999827</v>
      </c>
      <c r="B21" s="99" t="s">
        <v>331</v>
      </c>
      <c r="C21" s="100">
        <v>23504</v>
      </c>
    </row>
    <row r="22" spans="1:3" ht="17.25" customHeight="1">
      <c r="A22" s="99">
        <v>42077868</v>
      </c>
      <c r="B22" s="99" t="s">
        <v>332</v>
      </c>
      <c r="C22" s="100">
        <v>24182</v>
      </c>
    </row>
    <row r="23" spans="1:3" ht="17.25" customHeight="1">
      <c r="A23" s="99">
        <v>24551700</v>
      </c>
      <c r="B23" s="99" t="s">
        <v>333</v>
      </c>
      <c r="C23" s="100">
        <v>29214</v>
      </c>
    </row>
    <row r="24" spans="1:3" ht="17.25" customHeight="1">
      <c r="A24" s="99">
        <v>9762847</v>
      </c>
      <c r="B24" s="99" t="s">
        <v>334</v>
      </c>
      <c r="C24" s="100">
        <v>25689</v>
      </c>
    </row>
    <row r="25" spans="1:3" ht="17.25" customHeight="1">
      <c r="A25" s="99">
        <v>4452537</v>
      </c>
      <c r="B25" s="99" t="s">
        <v>335</v>
      </c>
      <c r="C25" s="100">
        <v>21526</v>
      </c>
    </row>
    <row r="26" spans="1:3" ht="17.25" customHeight="1">
      <c r="A26" s="102"/>
      <c r="B26" s="102"/>
      <c r="C26" s="103"/>
    </row>
    <row r="27" spans="1:3" ht="17.25" customHeight="1">
      <c r="A27" s="98"/>
      <c r="B27" s="101" t="s">
        <v>339</v>
      </c>
      <c r="C27" s="104">
        <v>18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ATTEP SEGUROS</dc:creator>
  <cp:keywords/>
  <dc:description/>
  <cp:lastModifiedBy>Empresa Social del Estado  H</cp:lastModifiedBy>
  <cp:lastPrinted>2011-07-01T21:11:24Z</cp:lastPrinted>
  <dcterms:created xsi:type="dcterms:W3CDTF">2003-09-18T20:04:42Z</dcterms:created>
  <dcterms:modified xsi:type="dcterms:W3CDTF">2011-07-01T21:11:52Z</dcterms:modified>
  <cp:category/>
  <cp:version/>
  <cp:contentType/>
  <cp:contentStatus/>
</cp:coreProperties>
</file>